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jjurisic\AppData\Local\Microsoft\Windows\INetCache\Content.Outlook\2IIM627Y\"/>
    </mc:Choice>
  </mc:AlternateContent>
  <xr:revisionPtr revIDLastSave="0" documentId="13_ncr:1_{71A21416-78C9-4B80-B697-3C439B5B06C1}" xr6:coauthVersionLast="36" xr6:coauthVersionMax="36" xr10:uidLastSave="{00000000-0000-0000-0000-000000000000}"/>
  <bookViews>
    <workbookView xWindow="0" yWindow="0" windowWidth="24669" windowHeight="960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rashoda'!$B$1:$L$118</definedName>
    <definedName name="_xlnm.Print_Area" localSheetId="6">'POSEBNI DIO'!$A$1:$G$306</definedName>
    <definedName name="_xlnm.Print_Area" localSheetId="4">'Račun financiranja'!$A$1:$L$17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" l="1"/>
  <c r="J107" i="3"/>
  <c r="J63" i="3"/>
  <c r="F15" i="5"/>
  <c r="J15" i="3"/>
  <c r="F33" i="5" l="1"/>
  <c r="F34" i="5"/>
  <c r="F25" i="5"/>
  <c r="F24" i="5"/>
  <c r="F17" i="5"/>
  <c r="F9" i="5"/>
  <c r="F8" i="5"/>
  <c r="J53" i="3"/>
  <c r="E16" i="5" l="1"/>
  <c r="D34" i="5"/>
  <c r="D32" i="5"/>
  <c r="D31" i="5"/>
  <c r="D24" i="5"/>
  <c r="E34" i="5"/>
  <c r="E33" i="5"/>
  <c r="E32" i="5"/>
  <c r="E31" i="5"/>
  <c r="E29" i="5"/>
  <c r="E27" i="5"/>
  <c r="E25" i="5"/>
  <c r="E24" i="5"/>
  <c r="I16" i="3" l="1"/>
  <c r="I15" i="3"/>
  <c r="I34" i="3"/>
  <c r="I33" i="3"/>
  <c r="H14" i="3"/>
  <c r="H16" i="3"/>
  <c r="H15" i="3"/>
  <c r="H34" i="3"/>
  <c r="H33" i="3"/>
  <c r="G16" i="3"/>
  <c r="G15" i="3"/>
  <c r="G14" i="3"/>
  <c r="G34" i="3"/>
  <c r="G33" i="3"/>
  <c r="H50" i="3" l="1"/>
  <c r="I50" i="3"/>
  <c r="H109" i="3" l="1"/>
  <c r="I109" i="3"/>
  <c r="G109" i="3"/>
  <c r="H114" i="3"/>
  <c r="I114" i="3"/>
  <c r="J114" i="3"/>
  <c r="G114" i="3"/>
  <c r="K115" i="3"/>
  <c r="K99" i="3"/>
  <c r="H98" i="3"/>
  <c r="I98" i="3"/>
  <c r="J98" i="3"/>
  <c r="G98" i="3"/>
  <c r="G82" i="3"/>
  <c r="G56" i="3"/>
  <c r="K114" i="3" l="1"/>
  <c r="H66" i="3"/>
  <c r="I66" i="3"/>
  <c r="J66" i="3"/>
  <c r="G66" i="3"/>
  <c r="K71" i="3"/>
  <c r="L71" i="3"/>
  <c r="E223" i="7"/>
  <c r="E194" i="7"/>
  <c r="E166" i="7"/>
  <c r="G160" i="7"/>
  <c r="G157" i="7"/>
  <c r="G134" i="7"/>
  <c r="G104" i="7"/>
  <c r="G75" i="7"/>
  <c r="G267" i="7"/>
  <c r="F266" i="7"/>
  <c r="E266" i="7"/>
  <c r="E265" i="7" s="1"/>
  <c r="D266" i="7"/>
  <c r="D265" i="7" s="1"/>
  <c r="E158" i="7"/>
  <c r="F158" i="7"/>
  <c r="D158" i="7"/>
  <c r="E154" i="7"/>
  <c r="F154" i="7"/>
  <c r="D154" i="7"/>
  <c r="E132" i="7"/>
  <c r="F132" i="7"/>
  <c r="D132" i="7"/>
  <c r="E101" i="7"/>
  <c r="F101" i="7"/>
  <c r="D101" i="7"/>
  <c r="E70" i="7"/>
  <c r="F70" i="7"/>
  <c r="D70" i="7"/>
  <c r="D76" i="7"/>
  <c r="E172" i="7"/>
  <c r="F172" i="7"/>
  <c r="D172" i="7"/>
  <c r="G266" i="7" l="1"/>
  <c r="F265" i="7"/>
  <c r="G265" i="7" s="1"/>
  <c r="H19" i="6" l="1"/>
  <c r="I19" i="6"/>
  <c r="J19" i="6"/>
  <c r="H26" i="1" l="1"/>
  <c r="I26" i="1"/>
  <c r="J26" i="1"/>
  <c r="L25" i="1"/>
  <c r="L24" i="1"/>
  <c r="K25" i="1"/>
  <c r="K24" i="1"/>
  <c r="H23" i="1"/>
  <c r="I23" i="1"/>
  <c r="J23" i="1"/>
  <c r="H21" i="3"/>
  <c r="I21" i="3"/>
  <c r="J21" i="3"/>
  <c r="G21" i="3"/>
  <c r="G20" i="3" s="1"/>
  <c r="K24" i="3"/>
  <c r="H32" i="3"/>
  <c r="H31" i="3" s="1"/>
  <c r="I32" i="3"/>
  <c r="J32" i="3"/>
  <c r="G32" i="3"/>
  <c r="G31" i="3" s="1"/>
  <c r="L34" i="3"/>
  <c r="K34" i="3"/>
  <c r="L33" i="3"/>
  <c r="K33" i="3"/>
  <c r="J31" i="3"/>
  <c r="I31" i="3"/>
  <c r="G306" i="7"/>
  <c r="G303" i="7"/>
  <c r="G301" i="7"/>
  <c r="G299" i="7"/>
  <c r="G298" i="7"/>
  <c r="G295" i="7"/>
  <c r="G293" i="7"/>
  <c r="G289" i="7"/>
  <c r="G286" i="7"/>
  <c r="G284" i="7"/>
  <c r="G282" i="7"/>
  <c r="G281" i="7"/>
  <c r="G278" i="7"/>
  <c r="G276" i="7"/>
  <c r="G270" i="7"/>
  <c r="G264" i="7"/>
  <c r="G263" i="7"/>
  <c r="G261" i="7"/>
  <c r="G259" i="7"/>
  <c r="G258" i="7"/>
  <c r="G255" i="7"/>
  <c r="G253" i="7"/>
  <c r="G247" i="7"/>
  <c r="G244" i="7"/>
  <c r="G241" i="7"/>
  <c r="G238" i="7"/>
  <c r="G236" i="7"/>
  <c r="G235" i="7"/>
  <c r="G234" i="7"/>
  <c r="G233" i="7"/>
  <c r="G230" i="7"/>
  <c r="G229" i="7"/>
  <c r="G227" i="7"/>
  <c r="G224" i="7"/>
  <c r="G222" i="7"/>
  <c r="G218" i="7"/>
  <c r="G215" i="7"/>
  <c r="G212" i="7"/>
  <c r="G209" i="7"/>
  <c r="G207" i="7"/>
  <c r="G206" i="7"/>
  <c r="G205" i="7"/>
  <c r="G204" i="7"/>
  <c r="G201" i="7"/>
  <c r="G200" i="7"/>
  <c r="G198" i="7"/>
  <c r="G195" i="7"/>
  <c r="G193" i="7"/>
  <c r="G187" i="7"/>
  <c r="G184" i="7"/>
  <c r="G183" i="7"/>
  <c r="G173" i="7"/>
  <c r="G167" i="7"/>
  <c r="G163" i="7"/>
  <c r="G159" i="7"/>
  <c r="G156" i="7"/>
  <c r="G155" i="7"/>
  <c r="G153" i="7"/>
  <c r="G152" i="7"/>
  <c r="G151" i="7"/>
  <c r="G148" i="7"/>
  <c r="G146" i="7"/>
  <c r="G144" i="7"/>
  <c r="G140" i="7"/>
  <c r="G137" i="7"/>
  <c r="G133" i="7"/>
  <c r="G131" i="7"/>
  <c r="G130" i="7"/>
  <c r="G128" i="7"/>
  <c r="G127" i="7"/>
  <c r="G126" i="7"/>
  <c r="G123" i="7"/>
  <c r="G121" i="7"/>
  <c r="G119" i="7"/>
  <c r="G115" i="7"/>
  <c r="G113" i="7"/>
  <c r="G110" i="7"/>
  <c r="G108" i="7"/>
  <c r="G103" i="7"/>
  <c r="G102" i="7"/>
  <c r="G99" i="7"/>
  <c r="G95" i="7"/>
  <c r="G90" i="7"/>
  <c r="G89" i="7"/>
  <c r="G88" i="7"/>
  <c r="G86" i="7"/>
  <c r="G84" i="7"/>
  <c r="G83" i="7"/>
  <c r="G82" i="7"/>
  <c r="G81" i="7"/>
  <c r="G80" i="7"/>
  <c r="G79" i="7"/>
  <c r="G78" i="7"/>
  <c r="G77" i="7"/>
  <c r="G74" i="7"/>
  <c r="G73" i="7"/>
  <c r="G72" i="7"/>
  <c r="G71" i="7"/>
  <c r="G70" i="7"/>
  <c r="G69" i="7"/>
  <c r="G68" i="7"/>
  <c r="G67" i="7"/>
  <c r="G63" i="7"/>
  <c r="G61" i="7"/>
  <c r="G59" i="7"/>
  <c r="G58" i="7"/>
  <c r="G52" i="7"/>
  <c r="G49" i="7"/>
  <c r="G46" i="7"/>
  <c r="G45" i="7"/>
  <c r="G44" i="7"/>
  <c r="G43" i="7"/>
  <c r="G42" i="7"/>
  <c r="G41" i="7"/>
  <c r="G39" i="7"/>
  <c r="G38" i="7"/>
  <c r="G37" i="7"/>
  <c r="G36" i="7"/>
  <c r="G35" i="7"/>
  <c r="G34" i="7"/>
  <c r="G33" i="7"/>
  <c r="G32" i="7"/>
  <c r="G31" i="7"/>
  <c r="G29" i="7"/>
  <c r="G28" i="7"/>
  <c r="G27" i="7"/>
  <c r="G26" i="7"/>
  <c r="G24" i="7"/>
  <c r="G23" i="7"/>
  <c r="G22" i="7"/>
  <c r="G19" i="7"/>
  <c r="G17" i="7"/>
  <c r="G15" i="7"/>
  <c r="E305" i="7"/>
  <c r="E304" i="7" s="1"/>
  <c r="F305" i="7"/>
  <c r="D305" i="7"/>
  <c r="D304" i="7" s="1"/>
  <c r="E302" i="7"/>
  <c r="F302" i="7"/>
  <c r="D302" i="7"/>
  <c r="E300" i="7"/>
  <c r="F300" i="7"/>
  <c r="D300" i="7"/>
  <c r="E297" i="7"/>
  <c r="F297" i="7"/>
  <c r="D297" i="7"/>
  <c r="E294" i="7"/>
  <c r="F294" i="7"/>
  <c r="D294" i="7"/>
  <c r="E292" i="7"/>
  <c r="F292" i="7"/>
  <c r="D292" i="7"/>
  <c r="E288" i="7"/>
  <c r="E287" i="7" s="1"/>
  <c r="F288" i="7"/>
  <c r="F287" i="7" s="1"/>
  <c r="D288" i="7"/>
  <c r="D287" i="7" s="1"/>
  <c r="E285" i="7"/>
  <c r="F285" i="7"/>
  <c r="D285" i="7"/>
  <c r="E283" i="7"/>
  <c r="F283" i="7"/>
  <c r="D283" i="7"/>
  <c r="E280" i="7"/>
  <c r="F280" i="7"/>
  <c r="D280" i="7"/>
  <c r="E277" i="7"/>
  <c r="F277" i="7"/>
  <c r="D277" i="7"/>
  <c r="E275" i="7"/>
  <c r="F275" i="7"/>
  <c r="D275" i="7"/>
  <c r="E269" i="7"/>
  <c r="E268" i="7" s="1"/>
  <c r="F269" i="7"/>
  <c r="F268" i="7" s="1"/>
  <c r="D269" i="7"/>
  <c r="D268" i="7" s="1"/>
  <c r="E262" i="7"/>
  <c r="F262" i="7"/>
  <c r="D262" i="7"/>
  <c r="E260" i="7"/>
  <c r="F260" i="7"/>
  <c r="D260" i="7"/>
  <c r="E257" i="7"/>
  <c r="F257" i="7"/>
  <c r="D257" i="7"/>
  <c r="E254" i="7"/>
  <c r="F254" i="7"/>
  <c r="E252" i="7"/>
  <c r="F252" i="7"/>
  <c r="D254" i="7"/>
  <c r="D252" i="7"/>
  <c r="E246" i="7"/>
  <c r="E245" i="7" s="1"/>
  <c r="F246" i="7"/>
  <c r="D246" i="7"/>
  <c r="D245" i="7" s="1"/>
  <c r="E243" i="7"/>
  <c r="E242" i="7" s="1"/>
  <c r="F243" i="7"/>
  <c r="D243" i="7"/>
  <c r="D242" i="7" s="1"/>
  <c r="E240" i="7"/>
  <c r="E239" i="7" s="1"/>
  <c r="F240" i="7"/>
  <c r="D240" i="7"/>
  <c r="D239" i="7" s="1"/>
  <c r="E237" i="7"/>
  <c r="F237" i="7"/>
  <c r="D237" i="7"/>
  <c r="E231" i="7"/>
  <c r="F231" i="7"/>
  <c r="D231" i="7"/>
  <c r="E228" i="7"/>
  <c r="F228" i="7"/>
  <c r="D228" i="7"/>
  <c r="E226" i="7"/>
  <c r="F226" i="7"/>
  <c r="D226" i="7"/>
  <c r="F223" i="7"/>
  <c r="E221" i="7"/>
  <c r="F221" i="7"/>
  <c r="D223" i="7"/>
  <c r="D221" i="7"/>
  <c r="E217" i="7"/>
  <c r="E216" i="7" s="1"/>
  <c r="F217" i="7"/>
  <c r="F216" i="7" s="1"/>
  <c r="D217" i="7"/>
  <c r="D216" i="7" s="1"/>
  <c r="E214" i="7"/>
  <c r="E213" i="7" s="1"/>
  <c r="F214" i="7"/>
  <c r="F213" i="7" s="1"/>
  <c r="D214" i="7"/>
  <c r="D213" i="7" s="1"/>
  <c r="E211" i="7"/>
  <c r="E210" i="7" s="1"/>
  <c r="F211" i="7"/>
  <c r="D211" i="7"/>
  <c r="D210" i="7" s="1"/>
  <c r="E208" i="7"/>
  <c r="F208" i="7"/>
  <c r="G208" i="7" s="1"/>
  <c r="D208" i="7"/>
  <c r="E202" i="7"/>
  <c r="F202" i="7"/>
  <c r="D202" i="7"/>
  <c r="E199" i="7"/>
  <c r="F199" i="7"/>
  <c r="D199" i="7"/>
  <c r="E197" i="7"/>
  <c r="F197" i="7"/>
  <c r="D197" i="7"/>
  <c r="F194" i="7"/>
  <c r="G194" i="7" s="1"/>
  <c r="E192" i="7"/>
  <c r="F192" i="7"/>
  <c r="D194" i="7"/>
  <c r="D192" i="7"/>
  <c r="E186" i="7"/>
  <c r="E185" i="7" s="1"/>
  <c r="F186" i="7"/>
  <c r="F185" i="7" s="1"/>
  <c r="D186" i="7"/>
  <c r="D185" i="7" s="1"/>
  <c r="E182" i="7"/>
  <c r="E181" i="7" s="1"/>
  <c r="F182" i="7"/>
  <c r="F181" i="7" s="1"/>
  <c r="D182" i="7"/>
  <c r="D181" i="7" s="1"/>
  <c r="E179" i="7"/>
  <c r="E178" i="7" s="1"/>
  <c r="F179" i="7"/>
  <c r="F178" i="7" s="1"/>
  <c r="D179" i="7"/>
  <c r="D178" i="7" s="1"/>
  <c r="E114" i="7"/>
  <c r="F114" i="7"/>
  <c r="E171" i="7"/>
  <c r="F171" i="7"/>
  <c r="F170" i="7" s="1"/>
  <c r="F169" i="7" s="1"/>
  <c r="F168" i="7" s="1"/>
  <c r="D171" i="7"/>
  <c r="D170" i="7" s="1"/>
  <c r="D169" i="7" s="1"/>
  <c r="D168" i="7" s="1"/>
  <c r="F166" i="7"/>
  <c r="F165" i="7" s="1"/>
  <c r="F164" i="7" s="1"/>
  <c r="D166" i="7"/>
  <c r="D165" i="7" s="1"/>
  <c r="D164" i="7" s="1"/>
  <c r="E162" i="7"/>
  <c r="E161" i="7" s="1"/>
  <c r="F162" i="7"/>
  <c r="F161" i="7" s="1"/>
  <c r="D162" i="7"/>
  <c r="D161" i="7" s="1"/>
  <c r="G158" i="7"/>
  <c r="G154" i="7"/>
  <c r="E150" i="7"/>
  <c r="F150" i="7"/>
  <c r="D150" i="7"/>
  <c r="E147" i="7"/>
  <c r="F147" i="7"/>
  <c r="F145" i="7"/>
  <c r="E145" i="7"/>
  <c r="E143" i="7"/>
  <c r="F143" i="7"/>
  <c r="D147" i="7"/>
  <c r="D145" i="7"/>
  <c r="D143" i="7"/>
  <c r="E139" i="7"/>
  <c r="E138" i="7" s="1"/>
  <c r="F139" i="7"/>
  <c r="F138" i="7" s="1"/>
  <c r="D139" i="7"/>
  <c r="D138" i="7" s="1"/>
  <c r="E136" i="7"/>
  <c r="E135" i="7" s="1"/>
  <c r="F136" i="7"/>
  <c r="F135" i="7" s="1"/>
  <c r="D136" i="7"/>
  <c r="D135" i="7" s="1"/>
  <c r="G132" i="7"/>
  <c r="E129" i="7"/>
  <c r="F129" i="7"/>
  <c r="D129" i="7"/>
  <c r="E125" i="7"/>
  <c r="F125" i="7"/>
  <c r="D125" i="7"/>
  <c r="E122" i="7"/>
  <c r="F122" i="7"/>
  <c r="E120" i="7"/>
  <c r="F120" i="7"/>
  <c r="E118" i="7"/>
  <c r="F118" i="7"/>
  <c r="D122" i="7"/>
  <c r="D120" i="7"/>
  <c r="D118" i="7"/>
  <c r="D114" i="7"/>
  <c r="E112" i="7"/>
  <c r="F112" i="7"/>
  <c r="D112" i="7"/>
  <c r="E109" i="7"/>
  <c r="F109" i="7"/>
  <c r="E107" i="7"/>
  <c r="F107" i="7"/>
  <c r="D109" i="7"/>
  <c r="D107" i="7"/>
  <c r="E100" i="7"/>
  <c r="D100" i="7"/>
  <c r="F100" i="7"/>
  <c r="E98" i="7"/>
  <c r="E97" i="7" s="1"/>
  <c r="F98" i="7"/>
  <c r="F97" i="7" s="1"/>
  <c r="D98" i="7"/>
  <c r="D97" i="7" s="1"/>
  <c r="E94" i="7"/>
  <c r="E93" i="7" s="1"/>
  <c r="F94" i="7"/>
  <c r="F93" i="7" s="1"/>
  <c r="D94" i="7"/>
  <c r="D93" i="7" s="1"/>
  <c r="E87" i="7"/>
  <c r="F87" i="7"/>
  <c r="D87" i="7"/>
  <c r="E85" i="7"/>
  <c r="F85" i="7"/>
  <c r="D85" i="7"/>
  <c r="E76" i="7"/>
  <c r="F76" i="7"/>
  <c r="E66" i="7"/>
  <c r="F66" i="7"/>
  <c r="D66" i="7"/>
  <c r="E62" i="7"/>
  <c r="F62" i="7"/>
  <c r="D62" i="7"/>
  <c r="E60" i="7"/>
  <c r="F60" i="7"/>
  <c r="D60" i="7"/>
  <c r="E57" i="7"/>
  <c r="F57" i="7"/>
  <c r="D57" i="7"/>
  <c r="E51" i="7"/>
  <c r="E50" i="7" s="1"/>
  <c r="F51" i="7"/>
  <c r="F50" i="7" s="1"/>
  <c r="D51" i="7"/>
  <c r="D50" i="7" s="1"/>
  <c r="E48" i="7"/>
  <c r="E47" i="7" s="1"/>
  <c r="F48" i="7"/>
  <c r="F47" i="7" s="1"/>
  <c r="D48" i="7"/>
  <c r="D47" i="7" s="1"/>
  <c r="E40" i="7"/>
  <c r="F40" i="7"/>
  <c r="D40" i="7"/>
  <c r="E30" i="7"/>
  <c r="F30" i="7"/>
  <c r="D30" i="7"/>
  <c r="E25" i="7"/>
  <c r="F25" i="7"/>
  <c r="D25" i="7"/>
  <c r="E21" i="7"/>
  <c r="F21" i="7"/>
  <c r="D21" i="7"/>
  <c r="E18" i="7"/>
  <c r="F18" i="7"/>
  <c r="D18" i="7"/>
  <c r="E16" i="7"/>
  <c r="F16" i="7"/>
  <c r="D16" i="7"/>
  <c r="E14" i="7"/>
  <c r="F14" i="7"/>
  <c r="D14" i="7"/>
  <c r="F111" i="7" l="1"/>
  <c r="D191" i="7"/>
  <c r="D111" i="7"/>
  <c r="G150" i="7"/>
  <c r="G100" i="7"/>
  <c r="E111" i="7"/>
  <c r="G111" i="7" s="1"/>
  <c r="F106" i="7"/>
  <c r="G216" i="7"/>
  <c r="G118" i="7"/>
  <c r="G145" i="7"/>
  <c r="E106" i="7"/>
  <c r="G120" i="7"/>
  <c r="G129" i="7"/>
  <c r="G143" i="7"/>
  <c r="G147" i="7"/>
  <c r="G202" i="7"/>
  <c r="F220" i="7"/>
  <c r="G275" i="7"/>
  <c r="F291" i="7"/>
  <c r="D106" i="7"/>
  <c r="G125" i="7"/>
  <c r="G240" i="7"/>
  <c r="G254" i="7"/>
  <c r="G288" i="7"/>
  <c r="F296" i="7"/>
  <c r="G51" i="7"/>
  <c r="G305" i="7"/>
  <c r="G62" i="7"/>
  <c r="E220" i="7"/>
  <c r="G220" i="7" s="1"/>
  <c r="G285" i="7"/>
  <c r="G287" i="7"/>
  <c r="G300" i="7"/>
  <c r="G18" i="7"/>
  <c r="G107" i="7"/>
  <c r="E191" i="7"/>
  <c r="G223" i="7"/>
  <c r="G280" i="7"/>
  <c r="G283" i="7"/>
  <c r="G297" i="7"/>
  <c r="F304" i="7"/>
  <c r="G304" i="7" s="1"/>
  <c r="G48" i="7"/>
  <c r="G93" i="7"/>
  <c r="G97" i="7"/>
  <c r="G114" i="7"/>
  <c r="G237" i="7"/>
  <c r="G277" i="7"/>
  <c r="G294" i="7"/>
  <c r="E296" i="7"/>
  <c r="G87" i="7"/>
  <c r="G122" i="7"/>
  <c r="G185" i="7"/>
  <c r="G192" i="7"/>
  <c r="G199" i="7"/>
  <c r="G231" i="7"/>
  <c r="G246" i="7"/>
  <c r="E251" i="7"/>
  <c r="G262" i="7"/>
  <c r="F279" i="7"/>
  <c r="G292" i="7"/>
  <c r="G302" i="7"/>
  <c r="G221" i="7"/>
  <c r="G14" i="7"/>
  <c r="G25" i="7"/>
  <c r="G85" i="7"/>
  <c r="G181" i="7"/>
  <c r="G197" i="7"/>
  <c r="G211" i="7"/>
  <c r="G213" i="7"/>
  <c r="G217" i="7"/>
  <c r="G228" i="7"/>
  <c r="G243" i="7"/>
  <c r="G252" i="7"/>
  <c r="G260" i="7"/>
  <c r="G268" i="7"/>
  <c r="G214" i="7"/>
  <c r="E65" i="7"/>
  <c r="G76" i="7"/>
  <c r="G66" i="7"/>
  <c r="E56" i="7"/>
  <c r="G60" i="7"/>
  <c r="G57" i="7"/>
  <c r="G50" i="7"/>
  <c r="G40" i="7"/>
  <c r="G30" i="7"/>
  <c r="G21" i="7"/>
  <c r="E13" i="7"/>
  <c r="G16" i="7"/>
  <c r="D291" i="7"/>
  <c r="D274" i="7"/>
  <c r="F239" i="7"/>
  <c r="G239" i="7" s="1"/>
  <c r="G186" i="7"/>
  <c r="F242" i="7"/>
  <c r="G242" i="7" s="1"/>
  <c r="F245" i="7"/>
  <c r="G245" i="7" s="1"/>
  <c r="D251" i="7"/>
  <c r="D220" i="7"/>
  <c r="G135" i="7"/>
  <c r="G138" i="7"/>
  <c r="G136" i="7"/>
  <c r="G139" i="7"/>
  <c r="D149" i="7"/>
  <c r="D142" i="7"/>
  <c r="D124" i="7"/>
  <c r="G161" i="7"/>
  <c r="G166" i="7"/>
  <c r="D13" i="7"/>
  <c r="D296" i="7"/>
  <c r="E291" i="7"/>
  <c r="D279" i="7"/>
  <c r="E274" i="7"/>
  <c r="F274" i="7"/>
  <c r="G269" i="7"/>
  <c r="F256" i="7"/>
  <c r="E256" i="7"/>
  <c r="D256" i="7"/>
  <c r="G257" i="7"/>
  <c r="F251" i="7"/>
  <c r="F225" i="7"/>
  <c r="E225" i="7"/>
  <c r="D225" i="7"/>
  <c r="G226" i="7"/>
  <c r="F210" i="7"/>
  <c r="G210" i="7" s="1"/>
  <c r="E196" i="7"/>
  <c r="D196" i="7"/>
  <c r="D190" i="7" s="1"/>
  <c r="F196" i="7"/>
  <c r="F191" i="7"/>
  <c r="G182" i="7"/>
  <c r="D177" i="7"/>
  <c r="D176" i="7" s="1"/>
  <c r="D175" i="7" s="1"/>
  <c r="F177" i="7"/>
  <c r="F176" i="7" s="1"/>
  <c r="F175" i="7" s="1"/>
  <c r="E177" i="7"/>
  <c r="G171" i="7"/>
  <c r="E170" i="7"/>
  <c r="G172" i="7"/>
  <c r="E165" i="7"/>
  <c r="G162" i="7"/>
  <c r="E149" i="7"/>
  <c r="F149" i="7"/>
  <c r="E142" i="7"/>
  <c r="F142" i="7"/>
  <c r="E124" i="7"/>
  <c r="F124" i="7"/>
  <c r="D117" i="7"/>
  <c r="F117" i="7"/>
  <c r="E117" i="7"/>
  <c r="G112" i="7"/>
  <c r="G109" i="7"/>
  <c r="F105" i="7"/>
  <c r="G101" i="7"/>
  <c r="G98" i="7"/>
  <c r="G94" i="7"/>
  <c r="D65" i="7"/>
  <c r="F65" i="7"/>
  <c r="D56" i="7"/>
  <c r="F56" i="7"/>
  <c r="G47" i="7"/>
  <c r="D20" i="7"/>
  <c r="E20" i="7"/>
  <c r="E12" i="7" s="1"/>
  <c r="E11" i="7" s="1"/>
  <c r="E10" i="7" s="1"/>
  <c r="F20" i="7"/>
  <c r="F13" i="7"/>
  <c r="L26" i="1"/>
  <c r="L31" i="3"/>
  <c r="L32" i="3"/>
  <c r="K32" i="3"/>
  <c r="K31" i="3"/>
  <c r="E279" i="7"/>
  <c r="G256" i="7" l="1"/>
  <c r="G296" i="7"/>
  <c r="E219" i="7"/>
  <c r="E190" i="7"/>
  <c r="F290" i="7"/>
  <c r="D105" i="7"/>
  <c r="D116" i="7"/>
  <c r="D273" i="7"/>
  <c r="D141" i="7"/>
  <c r="G291" i="7"/>
  <c r="E105" i="7"/>
  <c r="G105" i="7" s="1"/>
  <c r="E116" i="7"/>
  <c r="G279" i="7"/>
  <c r="G124" i="7"/>
  <c r="D219" i="7"/>
  <c r="D189" i="7" s="1"/>
  <c r="E55" i="7"/>
  <c r="G106" i="7"/>
  <c r="G196" i="7"/>
  <c r="F219" i="7"/>
  <c r="D290" i="7"/>
  <c r="D271" i="7" s="1"/>
  <c r="D250" i="7"/>
  <c r="D249" i="7" s="1"/>
  <c r="D248" i="7" s="1"/>
  <c r="F250" i="7"/>
  <c r="G65" i="7"/>
  <c r="G251" i="7"/>
  <c r="E290" i="7"/>
  <c r="E250" i="7"/>
  <c r="E249" i="7" s="1"/>
  <c r="E248" i="7" s="1"/>
  <c r="G20" i="7"/>
  <c r="E141" i="7"/>
  <c r="G149" i="7"/>
  <c r="F116" i="7"/>
  <c r="D12" i="7"/>
  <c r="D11" i="7" s="1"/>
  <c r="D10" i="7" s="1"/>
  <c r="E273" i="7"/>
  <c r="F273" i="7"/>
  <c r="G274" i="7"/>
  <c r="G225" i="7"/>
  <c r="G191" i="7"/>
  <c r="F190" i="7"/>
  <c r="E176" i="7"/>
  <c r="G177" i="7"/>
  <c r="G170" i="7"/>
  <c r="E169" i="7"/>
  <c r="G165" i="7"/>
  <c r="E164" i="7"/>
  <c r="G164" i="7" s="1"/>
  <c r="G142" i="7"/>
  <c r="F141" i="7"/>
  <c r="G117" i="7"/>
  <c r="D55" i="7"/>
  <c r="G56" i="7"/>
  <c r="F55" i="7"/>
  <c r="G13" i="7"/>
  <c r="F12" i="7"/>
  <c r="G8" i="10"/>
  <c r="D10" i="10"/>
  <c r="D9" i="10" s="1"/>
  <c r="E10" i="10"/>
  <c r="F10" i="10"/>
  <c r="F9" i="10" s="1"/>
  <c r="E9" i="10"/>
  <c r="C10" i="10"/>
  <c r="C9" i="10"/>
  <c r="D7" i="10"/>
  <c r="D6" i="10" s="1"/>
  <c r="E7" i="10"/>
  <c r="E6" i="10" s="1"/>
  <c r="F7" i="10"/>
  <c r="F6" i="10" s="1"/>
  <c r="C7" i="10"/>
  <c r="C6" i="10" s="1"/>
  <c r="G6" i="10" s="1"/>
  <c r="H8" i="8"/>
  <c r="G8" i="8"/>
  <c r="D7" i="8"/>
  <c r="D6" i="8" s="1"/>
  <c r="E7" i="8"/>
  <c r="F7" i="8"/>
  <c r="F6" i="8" s="1"/>
  <c r="E6" i="8"/>
  <c r="C7" i="8"/>
  <c r="C6" i="8" s="1"/>
  <c r="H36" i="5"/>
  <c r="H34" i="5"/>
  <c r="H33" i="5"/>
  <c r="H32" i="5"/>
  <c r="H31" i="5"/>
  <c r="H29" i="5"/>
  <c r="H27" i="5"/>
  <c r="H25" i="5"/>
  <c r="H24" i="5"/>
  <c r="H20" i="5"/>
  <c r="H18" i="5"/>
  <c r="H17" i="5"/>
  <c r="H16" i="5"/>
  <c r="H15" i="5"/>
  <c r="H13" i="5"/>
  <c r="H11" i="5"/>
  <c r="H9" i="5"/>
  <c r="H8" i="5"/>
  <c r="G33" i="5"/>
  <c r="G32" i="5"/>
  <c r="G31" i="5"/>
  <c r="G29" i="5"/>
  <c r="G27" i="5"/>
  <c r="G25" i="5"/>
  <c r="G24" i="5"/>
  <c r="G20" i="5"/>
  <c r="G17" i="5"/>
  <c r="G16" i="5"/>
  <c r="G15" i="5"/>
  <c r="G13" i="5"/>
  <c r="G11" i="5"/>
  <c r="G9" i="5"/>
  <c r="G8" i="5"/>
  <c r="D12" i="5"/>
  <c r="E12" i="5"/>
  <c r="F12" i="5"/>
  <c r="D10" i="5"/>
  <c r="E10" i="5"/>
  <c r="F10" i="5"/>
  <c r="D7" i="5"/>
  <c r="E7" i="5"/>
  <c r="F7" i="5"/>
  <c r="C14" i="5"/>
  <c r="C12" i="5"/>
  <c r="C10" i="5"/>
  <c r="C7" i="5"/>
  <c r="F19" i="5"/>
  <c r="E19" i="5"/>
  <c r="D19" i="5"/>
  <c r="C19" i="5"/>
  <c r="G19" i="5" s="1"/>
  <c r="F14" i="5"/>
  <c r="E14" i="5"/>
  <c r="D14" i="5"/>
  <c r="G14" i="5" l="1"/>
  <c r="H10" i="5"/>
  <c r="G290" i="7"/>
  <c r="G219" i="7"/>
  <c r="E188" i="7"/>
  <c r="E189" i="7"/>
  <c r="D53" i="7"/>
  <c r="G116" i="7"/>
  <c r="D188" i="7"/>
  <c r="D9" i="7" s="1"/>
  <c r="D8" i="7" s="1"/>
  <c r="G141" i="7"/>
  <c r="G250" i="7"/>
  <c r="F249" i="7"/>
  <c r="G249" i="7" s="1"/>
  <c r="D272" i="7"/>
  <c r="E54" i="7"/>
  <c r="E271" i="7"/>
  <c r="E272" i="7"/>
  <c r="F271" i="7"/>
  <c r="G273" i="7"/>
  <c r="F272" i="7"/>
  <c r="F188" i="7"/>
  <c r="G190" i="7"/>
  <c r="F189" i="7"/>
  <c r="G176" i="7"/>
  <c r="E175" i="7"/>
  <c r="G175" i="7" s="1"/>
  <c r="G169" i="7"/>
  <c r="E168" i="7"/>
  <c r="G168" i="7" s="1"/>
  <c r="E53" i="7"/>
  <c r="D54" i="7"/>
  <c r="F54" i="7"/>
  <c r="G55" i="7"/>
  <c r="F53" i="7"/>
  <c r="G12" i="7"/>
  <c r="F11" i="7"/>
  <c r="G7" i="8"/>
  <c r="H6" i="8"/>
  <c r="H7" i="8"/>
  <c r="H19" i="5"/>
  <c r="H14" i="5"/>
  <c r="G12" i="5"/>
  <c r="H12" i="5"/>
  <c r="G10" i="5"/>
  <c r="H7" i="5"/>
  <c r="G7" i="5"/>
  <c r="G7" i="10"/>
  <c r="G6" i="8"/>
  <c r="C6" i="5"/>
  <c r="F6" i="5"/>
  <c r="E6" i="5"/>
  <c r="D6" i="5"/>
  <c r="D35" i="5"/>
  <c r="E35" i="5"/>
  <c r="F35" i="5"/>
  <c r="H35" i="5" s="1"/>
  <c r="C35" i="5"/>
  <c r="D30" i="5"/>
  <c r="E30" i="5"/>
  <c r="F30" i="5"/>
  <c r="C30" i="5"/>
  <c r="D28" i="5"/>
  <c r="E28" i="5"/>
  <c r="F28" i="5"/>
  <c r="C28" i="5"/>
  <c r="D26" i="5"/>
  <c r="E26" i="5"/>
  <c r="F26" i="5"/>
  <c r="C26" i="5"/>
  <c r="D23" i="5"/>
  <c r="E23" i="5"/>
  <c r="F23" i="5"/>
  <c r="C23" i="5"/>
  <c r="G189" i="7" l="1"/>
  <c r="G188" i="7"/>
  <c r="F248" i="7"/>
  <c r="G248" i="7" s="1"/>
  <c r="G54" i="7"/>
  <c r="G53" i="7"/>
  <c r="G271" i="7"/>
  <c r="G272" i="7"/>
  <c r="E9" i="7"/>
  <c r="E8" i="7" s="1"/>
  <c r="G11" i="7"/>
  <c r="F10" i="7"/>
  <c r="G26" i="5"/>
  <c r="H26" i="5"/>
  <c r="F22" i="5"/>
  <c r="G23" i="5"/>
  <c r="H23" i="5"/>
  <c r="H28" i="5"/>
  <c r="G28" i="5"/>
  <c r="G30" i="5"/>
  <c r="H30" i="5"/>
  <c r="H6" i="5"/>
  <c r="G6" i="5"/>
  <c r="E22" i="5"/>
  <c r="D22" i="5"/>
  <c r="C22" i="5"/>
  <c r="F9" i="7" l="1"/>
  <c r="G10" i="7"/>
  <c r="G22" i="5"/>
  <c r="H22" i="5"/>
  <c r="K118" i="3"/>
  <c r="K113" i="3"/>
  <c r="K112" i="3"/>
  <c r="K111" i="3"/>
  <c r="K108" i="3"/>
  <c r="K107" i="3"/>
  <c r="K103" i="3"/>
  <c r="K100" i="3"/>
  <c r="K96" i="3"/>
  <c r="K95" i="3"/>
  <c r="K94" i="3"/>
  <c r="K91" i="3"/>
  <c r="K90" i="3"/>
  <c r="K89" i="3"/>
  <c r="K88" i="3"/>
  <c r="K87" i="3"/>
  <c r="K85" i="3"/>
  <c r="K81" i="3"/>
  <c r="K80" i="3"/>
  <c r="K79" i="3"/>
  <c r="K78" i="3"/>
  <c r="K77" i="3"/>
  <c r="K76" i="3"/>
  <c r="K75" i="3"/>
  <c r="K74" i="3"/>
  <c r="K73" i="3"/>
  <c r="K70" i="3"/>
  <c r="K69" i="3"/>
  <c r="K68" i="3"/>
  <c r="K67" i="3"/>
  <c r="K65" i="3"/>
  <c r="K64" i="3"/>
  <c r="K63" i="3"/>
  <c r="K60" i="3"/>
  <c r="K59" i="3"/>
  <c r="K57" i="3"/>
  <c r="K55" i="3"/>
  <c r="K54" i="3"/>
  <c r="H110" i="3"/>
  <c r="I110" i="3"/>
  <c r="J110" i="3"/>
  <c r="J109" i="3" s="1"/>
  <c r="G110" i="3"/>
  <c r="H106" i="3"/>
  <c r="H105" i="3" s="1"/>
  <c r="I106" i="3"/>
  <c r="I105" i="3" s="1"/>
  <c r="J106" i="3"/>
  <c r="G106" i="3"/>
  <c r="G105" i="3" s="1"/>
  <c r="G93" i="3"/>
  <c r="G92" i="3" s="1"/>
  <c r="L118" i="3"/>
  <c r="L112" i="3"/>
  <c r="L111" i="3"/>
  <c r="L107" i="3"/>
  <c r="L103" i="3"/>
  <c r="L100" i="3"/>
  <c r="L94" i="3"/>
  <c r="L91" i="3"/>
  <c r="L89" i="3"/>
  <c r="L88" i="3"/>
  <c r="L87" i="3"/>
  <c r="L86" i="3"/>
  <c r="L85" i="3"/>
  <c r="L83" i="3"/>
  <c r="L81" i="3"/>
  <c r="L80" i="3"/>
  <c r="L79" i="3"/>
  <c r="L78" i="3"/>
  <c r="L77" i="3"/>
  <c r="L76" i="3"/>
  <c r="L75" i="3"/>
  <c r="L74" i="3"/>
  <c r="L73" i="3"/>
  <c r="L70" i="3"/>
  <c r="L69" i="3"/>
  <c r="L68" i="3"/>
  <c r="L67" i="3"/>
  <c r="L65" i="3"/>
  <c r="L64" i="3"/>
  <c r="L63" i="3"/>
  <c r="L59" i="3"/>
  <c r="L57" i="3"/>
  <c r="L55" i="3"/>
  <c r="L54" i="3"/>
  <c r="H117" i="3"/>
  <c r="H116" i="3" s="1"/>
  <c r="I117" i="3"/>
  <c r="I116" i="3" s="1"/>
  <c r="J117" i="3"/>
  <c r="H102" i="3"/>
  <c r="H101" i="3" s="1"/>
  <c r="I102" i="3"/>
  <c r="I101" i="3" s="1"/>
  <c r="J102" i="3"/>
  <c r="J101" i="3" s="1"/>
  <c r="H97" i="3"/>
  <c r="I97" i="3"/>
  <c r="J97" i="3"/>
  <c r="H93" i="3"/>
  <c r="H92" i="3" s="1"/>
  <c r="I93" i="3"/>
  <c r="I92" i="3" s="1"/>
  <c r="J93" i="3"/>
  <c r="J92" i="3" s="1"/>
  <c r="H84" i="3"/>
  <c r="I84" i="3"/>
  <c r="J84" i="3"/>
  <c r="H82" i="3"/>
  <c r="I82" i="3"/>
  <c r="J82" i="3"/>
  <c r="H72" i="3"/>
  <c r="I72" i="3"/>
  <c r="J72" i="3"/>
  <c r="H62" i="3"/>
  <c r="I62" i="3"/>
  <c r="J62" i="3"/>
  <c r="H58" i="3"/>
  <c r="I58" i="3"/>
  <c r="J58" i="3"/>
  <c r="K58" i="3" s="1"/>
  <c r="H56" i="3"/>
  <c r="I56" i="3"/>
  <c r="J56" i="3"/>
  <c r="H53" i="3"/>
  <c r="I53" i="3"/>
  <c r="G102" i="3"/>
  <c r="G101" i="3" s="1"/>
  <c r="G97" i="3"/>
  <c r="G84" i="3"/>
  <c r="G72" i="3"/>
  <c r="G62" i="3"/>
  <c r="G58" i="3"/>
  <c r="G53" i="3"/>
  <c r="G117" i="3"/>
  <c r="G116" i="3" s="1"/>
  <c r="H11" i="6"/>
  <c r="I11" i="6"/>
  <c r="I10" i="6" s="1"/>
  <c r="I9" i="6" s="1"/>
  <c r="J11" i="6"/>
  <c r="J10" i="6" s="1"/>
  <c r="H10" i="6"/>
  <c r="H9" i="6" s="1"/>
  <c r="G11" i="6"/>
  <c r="G10" i="6" s="1"/>
  <c r="K12" i="6"/>
  <c r="H16" i="6"/>
  <c r="I16" i="6"/>
  <c r="J16" i="6"/>
  <c r="J15" i="6" s="1"/>
  <c r="J14" i="6" s="1"/>
  <c r="H15" i="6"/>
  <c r="H14" i="6" s="1"/>
  <c r="I15" i="6"/>
  <c r="I14" i="6" s="1"/>
  <c r="G14" i="6"/>
  <c r="G15" i="6"/>
  <c r="G16" i="6"/>
  <c r="K45" i="3"/>
  <c r="H44" i="3"/>
  <c r="I44" i="3"/>
  <c r="J44" i="3"/>
  <c r="G44" i="3"/>
  <c r="L43" i="3"/>
  <c r="L39" i="3"/>
  <c r="L30" i="3"/>
  <c r="L27" i="3"/>
  <c r="L23" i="3"/>
  <c r="L22" i="3"/>
  <c r="L19" i="3"/>
  <c r="L18" i="3"/>
  <c r="L16" i="3"/>
  <c r="L15" i="3"/>
  <c r="L14" i="3"/>
  <c r="K43" i="3"/>
  <c r="K39" i="3"/>
  <c r="K30" i="3"/>
  <c r="K23" i="3"/>
  <c r="K22" i="3"/>
  <c r="K19" i="3"/>
  <c r="K16" i="3"/>
  <c r="K15" i="3"/>
  <c r="K14" i="3"/>
  <c r="I38" i="3"/>
  <c r="H42" i="3"/>
  <c r="I42" i="3"/>
  <c r="J42" i="3"/>
  <c r="H38" i="3"/>
  <c r="J38" i="3"/>
  <c r="H36" i="3"/>
  <c r="I36" i="3"/>
  <c r="J36" i="3"/>
  <c r="H29" i="3"/>
  <c r="H28" i="3" s="1"/>
  <c r="I29" i="3"/>
  <c r="I28" i="3" s="1"/>
  <c r="J29" i="3"/>
  <c r="J28" i="3" s="1"/>
  <c r="H26" i="3"/>
  <c r="H25" i="3" s="1"/>
  <c r="I26" i="3"/>
  <c r="I25" i="3" s="1"/>
  <c r="J26" i="3"/>
  <c r="J25" i="3" s="1"/>
  <c r="H20" i="3"/>
  <c r="I20" i="3"/>
  <c r="J20" i="3"/>
  <c r="H17" i="3"/>
  <c r="I17" i="3"/>
  <c r="J17" i="3"/>
  <c r="H13" i="3"/>
  <c r="I13" i="3"/>
  <c r="J13" i="3"/>
  <c r="G38" i="3"/>
  <c r="G36" i="3"/>
  <c r="G29" i="3"/>
  <c r="G28" i="3" s="1"/>
  <c r="G26" i="3"/>
  <c r="G25" i="3" s="1"/>
  <c r="G17" i="3"/>
  <c r="G13" i="3"/>
  <c r="G42" i="3"/>
  <c r="L38" i="3" l="1"/>
  <c r="J35" i="3"/>
  <c r="L110" i="3"/>
  <c r="L84" i="3"/>
  <c r="L82" i="3"/>
  <c r="L72" i="3"/>
  <c r="G9" i="7"/>
  <c r="F8" i="7"/>
  <c r="G8" i="7" s="1"/>
  <c r="K106" i="3"/>
  <c r="K62" i="3"/>
  <c r="J41" i="3"/>
  <c r="J40" i="3" s="1"/>
  <c r="J11" i="1" s="1"/>
  <c r="I41" i="3"/>
  <c r="I40" i="3" s="1"/>
  <c r="H41" i="3"/>
  <c r="H40" i="3" s="1"/>
  <c r="H11" i="1" s="1"/>
  <c r="G41" i="3"/>
  <c r="G40" i="3" s="1"/>
  <c r="I35" i="3"/>
  <c r="L20" i="3"/>
  <c r="L53" i="3"/>
  <c r="K97" i="3"/>
  <c r="K101" i="3"/>
  <c r="L97" i="3"/>
  <c r="G61" i="3"/>
  <c r="J105" i="3"/>
  <c r="K105" i="3" s="1"/>
  <c r="K66" i="3"/>
  <c r="K92" i="3"/>
  <c r="K117" i="3"/>
  <c r="L98" i="3"/>
  <c r="K72" i="3"/>
  <c r="J116" i="3"/>
  <c r="K56" i="3"/>
  <c r="L62" i="3"/>
  <c r="L66" i="3"/>
  <c r="K53" i="3"/>
  <c r="K84" i="3"/>
  <c r="K93" i="3"/>
  <c r="K102" i="3"/>
  <c r="K110" i="3"/>
  <c r="L28" i="3"/>
  <c r="L58" i="3"/>
  <c r="L117" i="3"/>
  <c r="K98" i="3"/>
  <c r="G104" i="3"/>
  <c r="G14" i="1" s="1"/>
  <c r="H104" i="3"/>
  <c r="H14" i="1" s="1"/>
  <c r="I52" i="3"/>
  <c r="L101" i="3"/>
  <c r="L102" i="3"/>
  <c r="L106" i="3"/>
  <c r="K28" i="3"/>
  <c r="L92" i="3"/>
  <c r="L93" i="3"/>
  <c r="L56" i="3"/>
  <c r="J52" i="3"/>
  <c r="I104" i="3"/>
  <c r="I14" i="1" s="1"/>
  <c r="I61" i="3"/>
  <c r="H61" i="3"/>
  <c r="H52" i="3"/>
  <c r="J61" i="3"/>
  <c r="G52" i="3"/>
  <c r="K11" i="6"/>
  <c r="J9" i="6"/>
  <c r="G9" i="6"/>
  <c r="K10" i="6"/>
  <c r="K44" i="3"/>
  <c r="K17" i="3"/>
  <c r="L21" i="3"/>
  <c r="K13" i="3"/>
  <c r="L17" i="3"/>
  <c r="L13" i="3"/>
  <c r="L25" i="3"/>
  <c r="L26" i="3"/>
  <c r="K20" i="3"/>
  <c r="K38" i="3"/>
  <c r="H35" i="3"/>
  <c r="L42" i="3"/>
  <c r="L29" i="3"/>
  <c r="K42" i="3"/>
  <c r="K29" i="3"/>
  <c r="K21" i="3"/>
  <c r="G35" i="3"/>
  <c r="J12" i="3"/>
  <c r="J11" i="3" s="1"/>
  <c r="I12" i="3"/>
  <c r="H12" i="3"/>
  <c r="G12" i="3"/>
  <c r="K41" i="3" l="1"/>
  <c r="G19" i="6"/>
  <c r="G21" i="1"/>
  <c r="J104" i="3"/>
  <c r="G51" i="3"/>
  <c r="G50" i="3" s="1"/>
  <c r="I11" i="1"/>
  <c r="L11" i="1" s="1"/>
  <c r="L40" i="3"/>
  <c r="L41" i="3"/>
  <c r="G11" i="1"/>
  <c r="K11" i="1" s="1"/>
  <c r="K40" i="3"/>
  <c r="H11" i="3"/>
  <c r="H10" i="1" s="1"/>
  <c r="H12" i="1" s="1"/>
  <c r="L35" i="3"/>
  <c r="I11" i="3"/>
  <c r="I10" i="3" s="1"/>
  <c r="J10" i="3"/>
  <c r="J10" i="1"/>
  <c r="G11" i="3"/>
  <c r="I51" i="3"/>
  <c r="I13" i="1" s="1"/>
  <c r="L105" i="3"/>
  <c r="L52" i="3"/>
  <c r="K52" i="3"/>
  <c r="K116" i="3"/>
  <c r="L116" i="3"/>
  <c r="K61" i="3"/>
  <c r="L61" i="3"/>
  <c r="L109" i="3"/>
  <c r="K109" i="3"/>
  <c r="J51" i="3"/>
  <c r="H51" i="3"/>
  <c r="K9" i="6"/>
  <c r="K35" i="3"/>
  <c r="L12" i="3"/>
  <c r="K12" i="3"/>
  <c r="J14" i="1" l="1"/>
  <c r="L14" i="1" s="1"/>
  <c r="J50" i="3"/>
  <c r="K14" i="1"/>
  <c r="K104" i="3"/>
  <c r="I10" i="1"/>
  <c r="L10" i="1" s="1"/>
  <c r="H10" i="3"/>
  <c r="K21" i="1"/>
  <c r="G23" i="1"/>
  <c r="G26" i="1" s="1"/>
  <c r="K26" i="1" s="1"/>
  <c r="L104" i="3"/>
  <c r="G13" i="1"/>
  <c r="G15" i="1" s="1"/>
  <c r="H13" i="1"/>
  <c r="H15" i="1" s="1"/>
  <c r="H16" i="1" s="1"/>
  <c r="H27" i="1" s="1"/>
  <c r="K51" i="3"/>
  <c r="J13" i="1"/>
  <c r="I15" i="1"/>
  <c r="I121" i="3"/>
  <c r="J12" i="1"/>
  <c r="G10" i="1"/>
  <c r="G12" i="1" s="1"/>
  <c r="G10" i="3"/>
  <c r="G121" i="3" s="1"/>
  <c r="K50" i="3"/>
  <c r="L51" i="3"/>
  <c r="L10" i="3"/>
  <c r="L11" i="3"/>
  <c r="K11" i="3"/>
  <c r="I12" i="1" l="1"/>
  <c r="I16" i="1" s="1"/>
  <c r="I27" i="1" s="1"/>
  <c r="G16" i="1"/>
  <c r="G27" i="1" s="1"/>
  <c r="H121" i="3"/>
  <c r="J121" i="3"/>
  <c r="J15" i="1"/>
  <c r="J16" i="1" s="1"/>
  <c r="K13" i="1"/>
  <c r="L13" i="1"/>
  <c r="L12" i="1"/>
  <c r="K12" i="1"/>
  <c r="K10" i="1"/>
  <c r="K10" i="3"/>
  <c r="L50" i="3"/>
  <c r="K15" i="1" l="1"/>
  <c r="L15" i="1"/>
  <c r="K16" i="1"/>
  <c r="L16" i="1"/>
  <c r="J27" i="1"/>
</calcChain>
</file>

<file path=xl/sharedStrings.xml><?xml version="1.0" encoding="utf-8"?>
<sst xmlns="http://schemas.openxmlformats.org/spreadsheetml/2006/main" count="874" uniqueCount="267">
  <si>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</si>
  <si>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</si>
  <si>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</si>
  <si>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</si>
  <si>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</si>
  <si>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</si>
  <si>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</si>
  <si>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</si>
  <si>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</si>
  <si>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</si>
  <si>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</si>
  <si>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</si>
  <si>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</si>
  <si>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</si>
  <si>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</si>
  <si>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Izdaci za otplatu glavnice primljenih kredita i zajmova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</si>
  <si>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</si>
  <si>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</si>
  <si>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</si>
  <si>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</si>
  <si>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</si>
  <si>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</si>
  <si>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</si>
  <si>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</si>
  <si>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</si>
  <si>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</si>
  <si>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</si>
  <si>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</si>
  <si>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</si>
  <si>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</si>
  <si>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</si>
  <si>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</si>
  <si>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</si>
  <si>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</si>
  <si>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</si>
  <si>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</si>
  <si>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</si>
  <si>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</si>
  <si>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</si>
  <si>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</si>
  <si>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</si>
  <si>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</si>
  <si>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</si>
  <si>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</si>
  <si>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</si>
  <si>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</si>
  <si>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</si>
  <si>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</si>
  <si>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</si>
  <si>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</si>
  <si>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</si>
  <si>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</si>
  <si>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</si>
  <si>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</si>
  <si>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</si>
  <si>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</si>
  <si>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</si>
  <si>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</si>
  <si>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</si>
  <si>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</si>
  <si>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</si>
  <si>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</si>
  <si>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</si>
  <si>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</si>
  <si>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</si>
  <si>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</si>
  <si>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</si>
  <si>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Plaće u naravi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</si>
  <si>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</si>
  <si>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</si>
  <si>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</si>
  <si>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</si>
  <si>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</si>
  <si>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</si>
  <si>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</si>
  <si>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</si>
  <si>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</si>
  <si>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</si>
  <si>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</si>
  <si>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</si>
  <si>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</si>
  <si>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</si>
  <si>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</si>
  <si>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</si>
  <si>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</si>
  <si>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</si>
  <si>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</si>
  <si>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</si>
  <si>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</si>
  <si>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</si>
  <si>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</si>
  <si>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</si>
  <si>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</si>
  <si>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</si>
  <si>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</si>
  <si>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</si>
  <si>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</si>
  <si>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</si>
  <si>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</si>
  <si>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</si>
  <si>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</si>
  <si>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</si>
  <si>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</si>
  <si>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</si>
  <si>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</si>
  <si>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</si>
  <si>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</si>
  <si>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</si>
  <si>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</si>
  <si>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</si>
  <si>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</si>
  <si>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</si>
  <si>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</si>
  <si>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</si>
  <si>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</si>
  <si>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</si>
  <si>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</si>
  <si>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</si>
  <si>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</si>
  <si>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</si>
  <si>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</si>
  <si>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</si>
  <si>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Prijenosi između proračunskih korisnika istog proračuna</t>
  </si>
  <si>
    <t>Tekući prijenosi između proračunskih korisnika istog proračuna temeljem prijenosa EU sredstava</t>
  </si>
  <si>
    <t>Naknade građanima i kućanstvima na temelju osiguranja i druge naknade</t>
  </si>
  <si>
    <t>Ostale naknade građanima i kućanstvima iz proračuna</t>
  </si>
  <si>
    <t>Naknade građanima i kućanstvima u novcu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</si>
  <si>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</si>
  <si>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</si>
  <si>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</si>
  <si>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</si>
  <si>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</si>
  <si>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Komunikacijska oprema</t>
  </si>
  <si>
    <t>Rashodi za dodatna ulaganja na nefinancijskoj imovini</t>
  </si>
  <si>
    <t>Dodatna ulaganja na građevinskim objektima</t>
  </si>
  <si>
    <t>Pomoći od međunarodnih organizacija te institucija i tijela EU</t>
  </si>
  <si>
    <t xml:space="preserve">Tekuće pomoći od međunarodnih organizacija </t>
  </si>
  <si>
    <t>Tekuće pomoći od institucija i tijela  EU</t>
  </si>
  <si>
    <t>Kapitalne pomoći od institucija i tijela  EU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</si>
  <si>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</si>
  <si>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</si>
  <si>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</si>
  <si>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</si>
  <si>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</si>
  <si>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</si>
  <si>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</si>
  <si>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</si>
  <si>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pruženih usluga</t>
  </si>
  <si>
    <t>Kazne, upravne mjere i ostali prihodi</t>
  </si>
  <si>
    <t>Kazne i upravne mjere</t>
  </si>
  <si>
    <t>Ostale nespomenute kazne</t>
  </si>
  <si>
    <t>Ostali prihodi</t>
  </si>
  <si>
    <t>Prihodi od prodaje proizvoda i robe te pruženih usluga i prihodi od donacija</t>
  </si>
  <si>
    <t>Prihodi od prodaje postrojenja i opreme</t>
  </si>
  <si>
    <t xml:space="preserve">Računala i računalna oprema 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</si>
  <si>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</si>
  <si>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</si>
  <si>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</si>
  <si>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Negativne tečajne razlike</t>
  </si>
  <si>
    <t>Ostala prava</t>
  </si>
  <si>
    <t>Uređaji, strojevi i oprema za ostale namjene</t>
  </si>
  <si>
    <t>4 Prihodi za posebne namjene</t>
  </si>
  <si>
    <t>43 Prihodi za posebne namjene</t>
  </si>
  <si>
    <t>5 Pomoći</t>
  </si>
  <si>
    <t>51 Pomoći EU</t>
  </si>
  <si>
    <t>52 Ostale pomoći</t>
  </si>
  <si>
    <t>563 Europski fond za regionalni razvoj (EFRR)</t>
  </si>
  <si>
    <t>581 Mehanizam za oporavak i otpornost</t>
  </si>
  <si>
    <t>7 Prihodi od prodaje ili zamjene nefinancijske imovine i naknade s naslova osiguranja</t>
  </si>
  <si>
    <t>SVEUČILIŠNI RAČUNSKI CENTAR</t>
  </si>
  <si>
    <t>RAZVOJ INFORMACIJSKOG DRUŠTVA</t>
  </si>
  <si>
    <t>A628018</t>
  </si>
  <si>
    <t>ADMIISTRACIJA I UPRAVLJANJE SVEUČILIŠNOG RAČUNSKOG CENTRA SRCE</t>
  </si>
  <si>
    <t>Opći prihodi i primici</t>
  </si>
  <si>
    <t>11</t>
  </si>
  <si>
    <t>31</t>
  </si>
  <si>
    <t>311</t>
  </si>
  <si>
    <t>3111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</si>
  <si>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</si>
  <si>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</si>
  <si>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</si>
  <si>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</si>
  <si>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</si>
  <si>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</si>
  <si>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</si>
  <si>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</si>
  <si>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</si>
  <si>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</si>
  <si>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323</t>
  </si>
  <si>
    <t>329</t>
  </si>
  <si>
    <t>34</t>
  </si>
  <si>
    <t>343</t>
  </si>
  <si>
    <t>3431</t>
  </si>
  <si>
    <t>37</t>
  </si>
  <si>
    <t>372</t>
  </si>
  <si>
    <t>3721</t>
  </si>
  <si>
    <t>A628084</t>
  </si>
  <si>
    <t>0133</t>
  </si>
  <si>
    <t>3112</t>
  </si>
  <si>
    <t>3133</t>
  </si>
  <si>
    <t>324</t>
  </si>
  <si>
    <t>3241</t>
  </si>
  <si>
    <t>3433</t>
  </si>
  <si>
    <t>42</t>
  </si>
  <si>
    <t>422</t>
  </si>
  <si>
    <t>4221</t>
  </si>
  <si>
    <t>4222</t>
  </si>
  <si>
    <t>43</t>
  </si>
  <si>
    <t>51</t>
  </si>
  <si>
    <t>36</t>
  </si>
  <si>
    <t>369</t>
  </si>
  <si>
    <t>3693</t>
  </si>
  <si>
    <t>52</t>
  </si>
  <si>
    <t>71</t>
  </si>
  <si>
    <t>45</t>
  </si>
  <si>
    <t>451</t>
  </si>
  <si>
    <t>4511</t>
  </si>
  <si>
    <t>A628098</t>
  </si>
  <si>
    <t>K628055</t>
  </si>
  <si>
    <t>41</t>
  </si>
  <si>
    <t>412</t>
  </si>
  <si>
    <t>4123</t>
  </si>
  <si>
    <t>K628087</t>
  </si>
  <si>
    <t>12</t>
  </si>
  <si>
    <t>563</t>
  </si>
  <si>
    <t>K628094</t>
  </si>
  <si>
    <t>581</t>
  </si>
  <si>
    <t>K628097</t>
  </si>
  <si>
    <t>ADMINISTRACIJA I UPRAVLJANJE SVEUČILIŠNOG RAČUNSKOG CENTRA SRCE  (IZ EVIDENCIJSKIH PRIHODA)</t>
  </si>
  <si>
    <t>Ostale opće usluge</t>
  </si>
  <si>
    <t>Vlastiti prihodi</t>
  </si>
  <si>
    <t>Ostali prihodi za posebne namjene</t>
  </si>
  <si>
    <t>Pomoći EU</t>
  </si>
  <si>
    <t>Ostale pomoći</t>
  </si>
  <si>
    <t>Prihodi od nefin. imovine i nadoknade št</t>
  </si>
  <si>
    <t>PRAVOMOĆNE SUDSKE PRESUDE</t>
  </si>
  <si>
    <t>SRCE -IZRAVNA KAPITALNA ULAGANJA</t>
  </si>
  <si>
    <t>OP KONKURENTNOST I KOHEZIJA 2014.-2020., PRIORITETI 1 i 10</t>
  </si>
  <si>
    <t>Sredstva učešća za pomoći</t>
  </si>
  <si>
    <t>Europski fond za regionalni razvoj (EFRR</t>
  </si>
  <si>
    <t>INFORMACIJSKI SUSTAVI EVIDENCIJA U VISOKOM OBRAZOVANJU - ISEVO - NPOO (C3.1.R2-I1)</t>
  </si>
  <si>
    <t>Mehanizam za oporavak i otpornost</t>
  </si>
  <si>
    <t>HRVATSKA KVANTNA KOMUNIKACIJSKA INFRASTRUKTURA - CRO QCI - NPOO (C3.2.R2-I2)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</si>
  <si>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</si>
  <si>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</si>
  <si>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</si>
  <si>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</si>
  <si>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pozitivnih tečajnih razlika</t>
  </si>
  <si>
    <t xml:space="preserve"> </t>
  </si>
  <si>
    <t>IZVRŠENJE FINANCIJSKOG PLANA PRORAČUNSKOG KORISNIKA DRŽAVNOG PRORAČUNA
ZA 2023. GODINU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</si>
  <si>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</si>
  <si>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</si>
  <si>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</si>
  <si>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</si>
  <si>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</si>
  <si>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</si>
  <si>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</si>
  <si>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</si>
  <si>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</si>
  <si>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</si>
  <si>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>Službena, radna i zaštitna obuća i odjeća</t>
  </si>
  <si>
    <t>Uređaji, strojevi i orpema za ostale namjene</t>
  </si>
  <si>
    <t>Službena, radna i zaštitna odjeća i obuća</t>
  </si>
  <si>
    <t>Prijevozna sredstva</t>
  </si>
  <si>
    <t>Prijevozna sredstva u cestovnom prometu</t>
  </si>
  <si>
    <t>015 Istraživanje i razvoj: Opće javne usluge</t>
  </si>
  <si>
    <t>72 Prihodi od prodaje 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</si>
</sst>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">
    <xf numFmtId="0" fontId="0" fillId="0" borderId="0"/>
    <xf numFmtId="0" fontId="3" fillId="0" borderId="0"/>
    <xf numFmtId="0" fontId="22" fillId="4" borderId="6" applyNumberFormat="0" applyProtection="0">
      <alignment horizontal="left" vertical="center" indent="1"/>
    </xf>
    <xf numFmtId="4" fontId="22" fillId="0" borderId="6" applyNumberFormat="0" applyProtection="0">
      <alignment horizontal="right" vertical="center"/>
    </xf>
    <xf numFmtId="0" fontId="25" fillId="0" borderId="7" applyNumberFormat="0" applyProtection="0">
      <alignment horizontal="left" vertical="center" wrapText="1"/>
    </xf>
  </cellStyleXfs>
  <cellXfs count="171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0" xfId="0" applyFont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19" fillId="0" borderId="3" xfId="0" applyNumberFormat="1" applyFont="1" applyBorder="1"/>
    <xf numFmtId="0" fontId="19" fillId="0" borderId="3" xfId="0" applyFont="1" applyBorder="1"/>
    <xf numFmtId="4" fontId="9" fillId="2" borderId="3" xfId="0" applyNumberFormat="1" applyFont="1" applyFill="1" applyBorder="1" applyAlignment="1" applyProtection="1">
      <alignment vertical="center" wrapText="1"/>
    </xf>
    <xf numFmtId="0" fontId="19" fillId="0" borderId="0" xfId="0" applyFont="1"/>
    <xf numFmtId="4" fontId="20" fillId="0" borderId="3" xfId="0" applyNumberFormat="1" applyFont="1" applyBorder="1"/>
    <xf numFmtId="0" fontId="20" fillId="0" borderId="3" xfId="0" applyFont="1" applyBorder="1"/>
    <xf numFmtId="10" fontId="3" fillId="2" borderId="3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/>
    <xf numFmtId="10" fontId="19" fillId="0" borderId="3" xfId="0" applyNumberFormat="1" applyFont="1" applyBorder="1"/>
    <xf numFmtId="10" fontId="9" fillId="2" borderId="3" xfId="0" applyNumberFormat="1" applyFont="1" applyFill="1" applyBorder="1" applyAlignment="1" applyProtection="1">
      <alignment vertical="center" wrapText="1"/>
    </xf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4" fontId="19" fillId="0" borderId="0" xfId="0" applyNumberFormat="1" applyFont="1" applyBorder="1"/>
    <xf numFmtId="10" fontId="19" fillId="0" borderId="0" xfId="0" applyNumberFormat="1" applyFont="1" applyBorder="1"/>
    <xf numFmtId="10" fontId="0" fillId="0" borderId="3" xfId="0" applyNumberFormat="1" applyBorder="1"/>
    <xf numFmtId="10" fontId="20" fillId="0" borderId="3" xfId="0" applyNumberFormat="1" applyFont="1" applyBorder="1"/>
    <xf numFmtId="10" fontId="20" fillId="0" borderId="3" xfId="0" applyNumberFormat="1" applyFont="1" applyBorder="1" applyAlignment="1">
      <alignment vertical="top" wrapText="1"/>
    </xf>
    <xf numFmtId="4" fontId="19" fillId="0" borderId="3" xfId="0" applyNumberFormat="1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10" fontId="19" fillId="0" borderId="3" xfId="0" applyNumberFormat="1" applyFont="1" applyBorder="1" applyAlignment="1">
      <alignment vertical="top" wrapText="1"/>
    </xf>
    <xf numFmtId="0" fontId="8" fillId="2" borderId="0" xfId="0" applyNumberFormat="1" applyFont="1" applyFill="1" applyBorder="1" applyAlignment="1" applyProtection="1">
      <alignment horizontal="left" vertical="center" wrapText="1" indent="1"/>
    </xf>
    <xf numFmtId="4" fontId="19" fillId="0" borderId="3" xfId="0" applyNumberFormat="1" applyFont="1" applyBorder="1" applyAlignment="1">
      <alignment wrapText="1"/>
    </xf>
    <xf numFmtId="4" fontId="19" fillId="0" borderId="3" xfId="0" applyNumberFormat="1" applyFont="1" applyBorder="1" applyAlignment="1"/>
    <xf numFmtId="4" fontId="0" fillId="0" borderId="3" xfId="0" applyNumberFormat="1" applyFont="1" applyBorder="1"/>
    <xf numFmtId="0" fontId="9" fillId="2" borderId="3" xfId="2" quotePrefix="1" applyNumberFormat="1" applyFont="1" applyFill="1" applyBorder="1" applyAlignment="1">
      <alignment horizontal="left" vertical="center" indent="7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7" fillId="2" borderId="3" xfId="2" quotePrefix="1" applyNumberFormat="1" applyFont="1" applyFill="1" applyBorder="1" applyAlignment="1">
      <alignment horizontal="left" vertical="center" indent="8"/>
    </xf>
    <xf numFmtId="0" fontId="7" fillId="2" borderId="3" xfId="2" quotePrefix="1" applyNumberFormat="1" applyFont="1" applyFill="1" applyBorder="1" applyAlignment="1">
      <alignment horizontal="left" vertical="center" indent="9"/>
    </xf>
    <xf numFmtId="0" fontId="7" fillId="2" borderId="3" xfId="2" quotePrefix="1" applyNumberFormat="1" applyFont="1" applyFill="1" applyBorder="1" applyAlignment="1">
      <alignment horizontal="left" vertical="center" indent="10"/>
    </xf>
    <xf numFmtId="0" fontId="7" fillId="2" borderId="3" xfId="2" quotePrefix="1" applyNumberFormat="1" applyFont="1" applyFill="1" applyBorder="1" applyAlignment="1">
      <alignment horizontal="left" vertical="center" indent="6"/>
    </xf>
    <xf numFmtId="0" fontId="20" fillId="0" borderId="0" xfId="0" applyFont="1"/>
    <xf numFmtId="4" fontId="6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3" xfId="0" applyFont="1" applyBorder="1" applyAlignment="1">
      <alignment horizontal="left" wrapText="1"/>
    </xf>
    <xf numFmtId="0" fontId="9" fillId="2" borderId="3" xfId="2" quotePrefix="1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0" fillId="0" borderId="0" xfId="0" applyFont="1" applyAlignment="1">
      <alignment vertical="center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/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23" fillId="0" borderId="6" xfId="3" applyNumberFormat="1" applyFont="1">
      <alignment horizontal="right" vertical="center"/>
    </xf>
    <xf numFmtId="4" fontId="19" fillId="0" borderId="0" xfId="0" applyNumberFormat="1" applyFont="1"/>
    <xf numFmtId="10" fontId="3" fillId="0" borderId="0" xfId="0" applyNumberFormat="1" applyFont="1" applyFill="1" applyBorder="1" applyAlignment="1" applyProtection="1">
      <alignment vertical="center" wrapText="1"/>
    </xf>
    <xf numFmtId="10" fontId="20" fillId="0" borderId="0" xfId="0" applyNumberFormat="1" applyFont="1"/>
    <xf numFmtId="10" fontId="6" fillId="3" borderId="3" xfId="0" applyNumberFormat="1" applyFont="1" applyFill="1" applyBorder="1" applyAlignment="1" applyProtection="1">
      <alignment horizontal="center" vertical="center" wrapText="1"/>
    </xf>
    <xf numFmtId="10" fontId="6" fillId="2" borderId="3" xfId="0" applyNumberFormat="1" applyFont="1" applyFill="1" applyBorder="1" applyAlignment="1">
      <alignment horizontal="right" vertical="center"/>
    </xf>
    <xf numFmtId="10" fontId="6" fillId="2" borderId="3" xfId="0" applyNumberFormat="1" applyFont="1" applyFill="1" applyBorder="1" applyAlignment="1">
      <alignment horizontal="right"/>
    </xf>
    <xf numFmtId="10" fontId="20" fillId="0" borderId="3" xfId="0" applyNumberFormat="1" applyFont="1" applyBorder="1" applyAlignment="1">
      <alignment vertical="center"/>
    </xf>
    <xf numFmtId="10" fontId="19" fillId="0" borderId="0" xfId="0" applyNumberFormat="1" applyFont="1"/>
    <xf numFmtId="4" fontId="7" fillId="0" borderId="3" xfId="0" applyNumberFormat="1" applyFont="1" applyFill="1" applyBorder="1" applyAlignment="1" applyProtection="1">
      <alignment vertical="center"/>
    </xf>
    <xf numFmtId="10" fontId="3" fillId="0" borderId="3" xfId="0" applyNumberFormat="1" applyFont="1" applyFill="1" applyBorder="1" applyAlignment="1">
      <alignment horizontal="right"/>
    </xf>
    <xf numFmtId="10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 applyProtection="1">
      <alignment vertical="center" wrapText="1"/>
    </xf>
    <xf numFmtId="10" fontId="3" fillId="0" borderId="3" xfId="0" applyNumberFormat="1" applyFont="1" applyFill="1" applyBorder="1" applyAlignment="1" applyProtection="1">
      <alignment horizontal="right" wrapText="1"/>
    </xf>
    <xf numFmtId="4" fontId="9" fillId="3" borderId="3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4" fontId="9" fillId="3" borderId="3" xfId="0" applyNumberFormat="1" applyFont="1" applyFill="1" applyBorder="1" applyAlignment="1" applyProtection="1">
      <alignment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Border="1" applyAlignment="1">
      <alignment horizontal="right"/>
    </xf>
    <xf numFmtId="10" fontId="3" fillId="0" borderId="3" xfId="0" applyNumberFormat="1" applyFont="1" applyBorder="1" applyAlignment="1"/>
    <xf numFmtId="10" fontId="6" fillId="3" borderId="3" xfId="0" applyNumberFormat="1" applyFont="1" applyFill="1" applyBorder="1" applyAlignment="1" applyProtection="1">
      <alignment vertical="center" wrapText="1"/>
    </xf>
    <xf numFmtId="10" fontId="6" fillId="0" borderId="3" xfId="0" applyNumberFormat="1" applyFont="1" applyBorder="1" applyAlignment="1"/>
    <xf numFmtId="10" fontId="6" fillId="3" borderId="3" xfId="0" applyNumberFormat="1" applyFont="1" applyFill="1" applyBorder="1" applyAlignment="1"/>
    <xf numFmtId="4" fontId="6" fillId="3" borderId="3" xfId="0" quotePrefix="1" applyNumberFormat="1" applyFont="1" applyFill="1" applyBorder="1" applyAlignment="1">
      <alignment horizontal="right" wrapText="1"/>
    </xf>
    <xf numFmtId="4" fontId="7" fillId="3" borderId="3" xfId="0" applyNumberFormat="1" applyFont="1" applyFill="1" applyBorder="1" applyAlignment="1" applyProtection="1">
      <alignment wrapText="1"/>
    </xf>
    <xf numFmtId="4" fontId="3" fillId="0" borderId="3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vertical="top" wrapText="1"/>
    </xf>
    <xf numFmtId="4" fontId="7" fillId="2" borderId="3" xfId="0" applyNumberFormat="1" applyFont="1" applyFill="1" applyBorder="1" applyAlignment="1" applyProtection="1">
      <alignment vertical="center" wrapText="1"/>
    </xf>
    <xf numFmtId="10" fontId="6" fillId="3" borderId="3" xfId="0" applyNumberFormat="1" applyFont="1" applyFill="1" applyBorder="1" applyAlignment="1" applyProtection="1">
      <alignment horizontal="right" wrapText="1"/>
    </xf>
    <xf numFmtId="4" fontId="19" fillId="2" borderId="3" xfId="0" applyNumberFormat="1" applyFont="1" applyFill="1" applyBorder="1"/>
    <xf numFmtId="0" fontId="26" fillId="0" borderId="0" xfId="4" quotePrefix="1" applyFont="1" applyFill="1" applyBorder="1" applyAlignment="1">
      <alignment horizontal="left" vertical="center" wrapText="1" indent="4"/>
    </xf>
    <xf numFmtId="0" fontId="26" fillId="0" borderId="0" xfId="4" quotePrefix="1" applyFont="1" applyFill="1" applyBorder="1">
      <alignment horizontal="left" vertical="center" wrapText="1"/>
    </xf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ont="1"/>
    <xf numFmtId="4" fontId="27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Obično_List4" xfId="1" xr:uid="{00000000-0005-0000-0000-000001000000}"/>
    <cellStyle name="SAPBEXHLevel2" xfId="4" xr:uid="{00ABCF2F-7DB1-4050-8FFD-3D16EF125384}"/>
    <cellStyle name="SAPBEXHLevel3" xfId="2" xr:uid="{7E59407E-2C2E-4655-93B5-E8CBB5EC9BE8}"/>
    <cellStyle name="SAPBEXstdData" xfId="3" xr:uid="{2141719C-952D-4379-ABC8-E23914055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workbookViewId="0">
      <selection activeCell="J25" sqref="J25"/>
    </sheetView>
  </sheetViews>
  <sheetFormatPr defaultRowHeight="14.6" x14ac:dyDescent="0.4"/>
  <cols>
    <col min="6" max="10" width="25.23046875" customWidth="1"/>
    <col min="11" max="12" width="15.69140625" customWidth="1"/>
    <col min="13" max="13" width="25.23046875" customWidth="1"/>
  </cols>
  <sheetData>
    <row r="1" spans="2:13" ht="42" customHeight="1" x14ac:dyDescent="0.4">
      <c r="B1" s="142" t="s">
        <v>249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28"/>
    </row>
    <row r="2" spans="2:13" ht="18" customHeight="1" x14ac:dyDescent="0.4">
      <c r="B2" s="3"/>
      <c r="C2" s="3"/>
      <c r="D2" s="3"/>
      <c r="E2" s="3"/>
      <c r="F2" s="3"/>
      <c r="G2" s="16"/>
      <c r="H2" s="3"/>
      <c r="I2" s="16"/>
      <c r="J2" s="3"/>
      <c r="K2" s="3"/>
      <c r="L2" s="16"/>
      <c r="M2" s="3"/>
    </row>
    <row r="3" spans="2:13" ht="15.75" customHeight="1" x14ac:dyDescent="0.4">
      <c r="B3" s="142" t="s">
        <v>13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7"/>
    </row>
    <row r="4" spans="2:13" ht="17.600000000000001" x14ac:dyDescent="0.4">
      <c r="B4" s="3"/>
      <c r="C4" s="3"/>
      <c r="D4" s="3"/>
      <c r="E4" s="3"/>
      <c r="F4" s="3"/>
      <c r="G4" s="16"/>
      <c r="H4" s="3"/>
      <c r="I4" s="16"/>
      <c r="J4" s="3"/>
      <c r="K4" s="3"/>
      <c r="L4" s="16"/>
      <c r="M4" s="4"/>
    </row>
    <row r="5" spans="2:13" ht="18" customHeight="1" x14ac:dyDescent="0.45">
      <c r="B5" s="142" t="s">
        <v>58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26"/>
    </row>
    <row r="6" spans="2:13" ht="18" customHeight="1" x14ac:dyDescent="0.4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6"/>
    </row>
    <row r="7" spans="2:13" ht="18" customHeight="1" x14ac:dyDescent="0.4">
      <c r="B7" s="159" t="s">
        <v>66</v>
      </c>
      <c r="C7" s="159"/>
      <c r="D7" s="159"/>
      <c r="E7" s="159"/>
      <c r="F7" s="159"/>
      <c r="G7" s="5"/>
      <c r="H7" s="6"/>
      <c r="I7" s="6"/>
      <c r="J7" s="6"/>
      <c r="K7" s="30"/>
      <c r="L7" s="30"/>
    </row>
    <row r="8" spans="2:13" ht="24.9" x14ac:dyDescent="0.4">
      <c r="B8" s="152" t="s">
        <v>8</v>
      </c>
      <c r="C8" s="152"/>
      <c r="D8" s="152"/>
      <c r="E8" s="152"/>
      <c r="F8" s="152"/>
      <c r="G8" s="29" t="s">
        <v>250</v>
      </c>
      <c r="H8" s="29" t="s">
        <v>57</v>
      </c>
      <c r="I8" s="29" t="s">
        <v>54</v>
      </c>
      <c r="J8" s="29" t="s">
        <v>251</v>
      </c>
      <c r="K8" s="29" t="s">
        <v>25</v>
      </c>
      <c r="L8" s="29" t="s">
        <v>55</v>
      </c>
    </row>
    <row r="9" spans="2:13" x14ac:dyDescent="0.4">
      <c r="B9" s="153">
        <v>1</v>
      </c>
      <c r="C9" s="153"/>
      <c r="D9" s="153"/>
      <c r="E9" s="153"/>
      <c r="F9" s="154"/>
      <c r="G9" s="34">
        <v>2</v>
      </c>
      <c r="H9" s="33">
        <v>3</v>
      </c>
      <c r="I9" s="33">
        <v>4</v>
      </c>
      <c r="J9" s="33">
        <v>5</v>
      </c>
      <c r="K9" s="33" t="s">
        <v>39</v>
      </c>
      <c r="L9" s="33" t="s">
        <v>40</v>
      </c>
    </row>
    <row r="10" spans="2:13" x14ac:dyDescent="0.4">
      <c r="B10" s="148" t="s">
        <v>27</v>
      </c>
      <c r="C10" s="149"/>
      <c r="D10" s="149"/>
      <c r="E10" s="149"/>
      <c r="F10" s="150"/>
      <c r="G10" s="115">
        <f>' Račun prihoda i rashoda'!G11</f>
        <v>21955349.329999998</v>
      </c>
      <c r="H10" s="131">
        <f>' Račun prihoda i rashoda'!H11</f>
        <v>11822889</v>
      </c>
      <c r="I10" s="131">
        <f>' Račun prihoda i rashoda'!I11</f>
        <v>11194753</v>
      </c>
      <c r="J10" s="131">
        <f>' Račun prihoda i rashoda'!J11</f>
        <v>10675829.51</v>
      </c>
      <c r="K10" s="116">
        <f>J10/G10</f>
        <v>0.48625186279374955</v>
      </c>
      <c r="L10" s="116">
        <f>J10/I10</f>
        <v>0.95364582943455745</v>
      </c>
    </row>
    <row r="11" spans="2:13" x14ac:dyDescent="0.4">
      <c r="B11" s="151" t="s">
        <v>26</v>
      </c>
      <c r="C11" s="150"/>
      <c r="D11" s="150"/>
      <c r="E11" s="150"/>
      <c r="F11" s="150"/>
      <c r="G11" s="115">
        <f>' Račun prihoda i rashoda'!G40</f>
        <v>2366.13</v>
      </c>
      <c r="H11" s="131">
        <f>' Račun prihoda i rashoda'!H40</f>
        <v>929</v>
      </c>
      <c r="I11" s="131">
        <f>' Račun prihoda i rashoda'!I40</f>
        <v>929</v>
      </c>
      <c r="J11" s="131">
        <f>' Račun prihoda i rashoda'!J40</f>
        <v>721.09</v>
      </c>
      <c r="K11" s="116">
        <f t="shared" ref="K11:K15" si="0">J11/G11</f>
        <v>0.3047550219134198</v>
      </c>
      <c r="L11" s="116">
        <f t="shared" ref="L11:L16" si="1">J11/I11</f>
        <v>0.77620021528525296</v>
      </c>
    </row>
    <row r="12" spans="2:13" s="51" customFormat="1" x14ac:dyDescent="0.4">
      <c r="B12" s="145" t="s">
        <v>0</v>
      </c>
      <c r="C12" s="146"/>
      <c r="D12" s="146"/>
      <c r="E12" s="146"/>
      <c r="F12" s="147"/>
      <c r="G12" s="120">
        <f>G10+G11</f>
        <v>21957715.459999997</v>
      </c>
      <c r="H12" s="120">
        <f t="shared" ref="H12:J12" si="2">H10+H11</f>
        <v>11823818</v>
      </c>
      <c r="I12" s="120">
        <f t="shared" si="2"/>
        <v>11195682</v>
      </c>
      <c r="J12" s="120">
        <f t="shared" si="2"/>
        <v>10676550.6</v>
      </c>
      <c r="K12" s="117">
        <f>J12/G12</f>
        <v>0.48623230497040065</v>
      </c>
      <c r="L12" s="117">
        <f t="shared" si="1"/>
        <v>0.95363110527790984</v>
      </c>
    </row>
    <row r="13" spans="2:13" x14ac:dyDescent="0.4">
      <c r="B13" s="158" t="s">
        <v>28</v>
      </c>
      <c r="C13" s="149"/>
      <c r="D13" s="149"/>
      <c r="E13" s="149"/>
      <c r="F13" s="149"/>
      <c r="G13" s="118">
        <f>' Račun prihoda i rashoda'!G51</f>
        <v>7639137.2499999991</v>
      </c>
      <c r="H13" s="131">
        <f>' Račun prihoda i rashoda'!H51</f>
        <v>10426479</v>
      </c>
      <c r="I13" s="131">
        <f>' Račun prihoda i rashoda'!I51</f>
        <v>9846455</v>
      </c>
      <c r="J13" s="131">
        <f>' Račun prihoda i rashoda'!J51</f>
        <v>8369179.75</v>
      </c>
      <c r="K13" s="119">
        <f t="shared" si="0"/>
        <v>1.0955660928856856</v>
      </c>
      <c r="L13" s="119">
        <f t="shared" si="1"/>
        <v>0.84996882126613083</v>
      </c>
    </row>
    <row r="14" spans="2:13" x14ac:dyDescent="0.4">
      <c r="B14" s="156" t="s">
        <v>29</v>
      </c>
      <c r="C14" s="150"/>
      <c r="D14" s="150"/>
      <c r="E14" s="150"/>
      <c r="F14" s="150"/>
      <c r="G14" s="115">
        <f>' Račun prihoda i rashoda'!G104</f>
        <v>14413179.319999998</v>
      </c>
      <c r="H14" s="124">
        <f>' Račun prihoda i rashoda'!H104</f>
        <v>2161717</v>
      </c>
      <c r="I14" s="124">
        <f>' Račun prihoda i rashoda'!I104</f>
        <v>2113605</v>
      </c>
      <c r="J14" s="124">
        <f>' Račun prihoda i rashoda'!J104</f>
        <v>2125840.39</v>
      </c>
      <c r="K14" s="119">
        <f t="shared" si="0"/>
        <v>0.14749281493016214</v>
      </c>
      <c r="L14" s="119">
        <f t="shared" si="1"/>
        <v>1.0057888725660662</v>
      </c>
    </row>
    <row r="15" spans="2:13" s="51" customFormat="1" x14ac:dyDescent="0.4">
      <c r="B15" s="20" t="s">
        <v>1</v>
      </c>
      <c r="C15" s="121"/>
      <c r="D15" s="121"/>
      <c r="E15" s="121"/>
      <c r="F15" s="121"/>
      <c r="G15" s="120">
        <f>G13+G14</f>
        <v>22052316.569999997</v>
      </c>
      <c r="H15" s="120">
        <f t="shared" ref="H15:J15" si="3">H13+H14</f>
        <v>12588196</v>
      </c>
      <c r="I15" s="120">
        <f t="shared" si="3"/>
        <v>11960060</v>
      </c>
      <c r="J15" s="120">
        <f t="shared" si="3"/>
        <v>10495020.140000001</v>
      </c>
      <c r="K15" s="117">
        <f t="shared" si="0"/>
        <v>0.47591463267298822</v>
      </c>
      <c r="L15" s="117">
        <f t="shared" si="1"/>
        <v>0.8775056429482796</v>
      </c>
    </row>
    <row r="16" spans="2:13" s="51" customFormat="1" x14ac:dyDescent="0.4">
      <c r="B16" s="157" t="s">
        <v>2</v>
      </c>
      <c r="C16" s="146"/>
      <c r="D16" s="146"/>
      <c r="E16" s="146"/>
      <c r="F16" s="146"/>
      <c r="G16" s="122">
        <f>G12-G15</f>
        <v>-94601.109999999404</v>
      </c>
      <c r="H16" s="122">
        <f t="shared" ref="H16:J16" si="4">H12-H15</f>
        <v>-764378</v>
      </c>
      <c r="I16" s="122">
        <f t="shared" si="4"/>
        <v>-764378</v>
      </c>
      <c r="J16" s="122">
        <f t="shared" si="4"/>
        <v>181530.45999999903</v>
      </c>
      <c r="K16" s="134">
        <f>J16/G16</f>
        <v>-1.9189041227951784</v>
      </c>
      <c r="L16" s="134">
        <f t="shared" si="1"/>
        <v>-0.23748781362100824</v>
      </c>
    </row>
    <row r="17" spans="1:49" ht="17.600000000000001" x14ac:dyDescent="0.4">
      <c r="B17" s="16"/>
      <c r="C17" s="15"/>
      <c r="D17" s="15"/>
      <c r="E17" s="15"/>
      <c r="F17" s="15"/>
      <c r="G17" s="15"/>
      <c r="H17" s="15"/>
      <c r="I17" s="15"/>
      <c r="J17" s="15"/>
      <c r="K17" s="1" t="s">
        <v>248</v>
      </c>
      <c r="L17" s="1"/>
      <c r="M17" s="1"/>
    </row>
    <row r="18" spans="1:49" ht="18" customHeight="1" x14ac:dyDescent="0.4">
      <c r="B18" s="159" t="s">
        <v>63</v>
      </c>
      <c r="C18" s="159"/>
      <c r="D18" s="159"/>
      <c r="E18" s="159"/>
      <c r="F18" s="159"/>
      <c r="G18" s="15"/>
      <c r="H18" s="7"/>
      <c r="I18" s="15"/>
      <c r="J18" s="7"/>
      <c r="K18" s="1"/>
      <c r="L18" s="1"/>
      <c r="M18" s="1"/>
    </row>
    <row r="19" spans="1:49" ht="24.9" x14ac:dyDescent="0.4">
      <c r="B19" s="152" t="s">
        <v>8</v>
      </c>
      <c r="C19" s="152"/>
      <c r="D19" s="152"/>
      <c r="E19" s="152"/>
      <c r="F19" s="152"/>
      <c r="G19" s="29" t="s">
        <v>250</v>
      </c>
      <c r="H19" s="2" t="s">
        <v>57</v>
      </c>
      <c r="I19" s="2" t="s">
        <v>54</v>
      </c>
      <c r="J19" s="2" t="s">
        <v>251</v>
      </c>
      <c r="K19" s="2" t="s">
        <v>25</v>
      </c>
      <c r="L19" s="2" t="s">
        <v>55</v>
      </c>
    </row>
    <row r="20" spans="1:49" x14ac:dyDescent="0.4">
      <c r="B20" s="160">
        <v>1</v>
      </c>
      <c r="C20" s="161"/>
      <c r="D20" s="161"/>
      <c r="E20" s="161"/>
      <c r="F20" s="161"/>
      <c r="G20" s="35">
        <v>2</v>
      </c>
      <c r="H20" s="33">
        <v>3</v>
      </c>
      <c r="I20" s="33">
        <v>4</v>
      </c>
      <c r="J20" s="33">
        <v>5</v>
      </c>
      <c r="K20" s="33" t="s">
        <v>39</v>
      </c>
      <c r="L20" s="33" t="s">
        <v>40</v>
      </c>
    </row>
    <row r="21" spans="1:49" ht="15.75" customHeight="1" x14ac:dyDescent="0.4">
      <c r="B21" s="148" t="s">
        <v>30</v>
      </c>
      <c r="C21" s="162"/>
      <c r="D21" s="162"/>
      <c r="E21" s="162"/>
      <c r="F21" s="162"/>
      <c r="G21" s="123">
        <f>'Račun financiranja'!G9</f>
        <v>22803.11</v>
      </c>
      <c r="H21" s="124">
        <v>0</v>
      </c>
      <c r="I21" s="124">
        <v>0</v>
      </c>
      <c r="J21" s="124">
        <v>0</v>
      </c>
      <c r="K21" s="125">
        <f>J21/G21</f>
        <v>0</v>
      </c>
      <c r="L21" s="125">
        <v>0</v>
      </c>
    </row>
    <row r="22" spans="1:49" x14ac:dyDescent="0.4">
      <c r="B22" s="148" t="s">
        <v>31</v>
      </c>
      <c r="C22" s="149"/>
      <c r="D22" s="149"/>
      <c r="E22" s="149"/>
      <c r="F22" s="149"/>
      <c r="G22" s="118">
        <v>0</v>
      </c>
      <c r="H22" s="124">
        <v>0</v>
      </c>
      <c r="I22" s="124">
        <v>0</v>
      </c>
      <c r="J22" s="124">
        <v>0</v>
      </c>
      <c r="K22" s="125">
        <v>0</v>
      </c>
      <c r="L22" s="125">
        <v>0</v>
      </c>
    </row>
    <row r="23" spans="1:49" ht="15" customHeight="1" x14ac:dyDescent="0.4">
      <c r="B23" s="163" t="s">
        <v>56</v>
      </c>
      <c r="C23" s="164"/>
      <c r="D23" s="164"/>
      <c r="E23" s="164"/>
      <c r="F23" s="165"/>
      <c r="G23" s="129">
        <f>G21-G22</f>
        <v>22803.11</v>
      </c>
      <c r="H23" s="129">
        <f t="shared" ref="H23:J23" si="5">H21-H22</f>
        <v>0</v>
      </c>
      <c r="I23" s="129">
        <f t="shared" si="5"/>
        <v>0</v>
      </c>
      <c r="J23" s="129">
        <f t="shared" si="5"/>
        <v>0</v>
      </c>
      <c r="K23" s="126">
        <v>0</v>
      </c>
      <c r="L23" s="126">
        <v>0</v>
      </c>
    </row>
    <row r="24" spans="1:49" s="38" customFormat="1" ht="15" customHeight="1" x14ac:dyDescent="0.4">
      <c r="A24"/>
      <c r="B24" s="148" t="s">
        <v>17</v>
      </c>
      <c r="C24" s="149"/>
      <c r="D24" s="149"/>
      <c r="E24" s="149"/>
      <c r="F24" s="149"/>
      <c r="G24" s="118">
        <v>2007708</v>
      </c>
      <c r="H24" s="53">
        <v>2016423</v>
      </c>
      <c r="I24" s="53">
        <v>2016423</v>
      </c>
      <c r="J24" s="53">
        <v>1935910.08</v>
      </c>
      <c r="K24" s="127">
        <f t="shared" ref="K24:K26" si="6">J24/G24</f>
        <v>0.9642388634203779</v>
      </c>
      <c r="L24" s="127">
        <f>J24/I24</f>
        <v>0.96007141358732773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8" customFormat="1" ht="15" customHeight="1" x14ac:dyDescent="0.4">
      <c r="A25"/>
      <c r="B25" s="148" t="s">
        <v>62</v>
      </c>
      <c r="C25" s="149"/>
      <c r="D25" s="149"/>
      <c r="E25" s="149"/>
      <c r="F25" s="149"/>
      <c r="G25" s="133">
        <v>-1935910</v>
      </c>
      <c r="H25" s="124">
        <v>-1252045</v>
      </c>
      <c r="I25" s="124">
        <v>-1252045</v>
      </c>
      <c r="J25" s="53">
        <v>-2117440.54</v>
      </c>
      <c r="K25" s="127">
        <f t="shared" si="6"/>
        <v>1.093770133942177</v>
      </c>
      <c r="L25" s="127">
        <f>J25/I25</f>
        <v>1.6911856522728816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7" customFormat="1" x14ac:dyDescent="0.4">
      <c r="A26" s="46"/>
      <c r="B26" s="163" t="s">
        <v>64</v>
      </c>
      <c r="C26" s="164"/>
      <c r="D26" s="164"/>
      <c r="E26" s="164"/>
      <c r="F26" s="165"/>
      <c r="G26" s="129">
        <f>G23+G24+G25</f>
        <v>94601.110000000102</v>
      </c>
      <c r="H26" s="129">
        <f t="shared" ref="H26:J26" si="7">H23+H24+H25</f>
        <v>764378</v>
      </c>
      <c r="I26" s="129">
        <f t="shared" si="7"/>
        <v>764378</v>
      </c>
      <c r="J26" s="129">
        <f t="shared" si="7"/>
        <v>-181530.45999999996</v>
      </c>
      <c r="K26" s="126">
        <f t="shared" si="6"/>
        <v>-1.918904122795174</v>
      </c>
      <c r="L26" s="126">
        <f t="shared" ref="L26" si="8">J26/I26</f>
        <v>-0.23748781362100946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x14ac:dyDescent="0.4">
      <c r="B27" s="155" t="s">
        <v>65</v>
      </c>
      <c r="C27" s="155"/>
      <c r="D27" s="155"/>
      <c r="E27" s="155"/>
      <c r="F27" s="155"/>
      <c r="G27" s="130">
        <f>G16+G26</f>
        <v>6.9849193096160889E-10</v>
      </c>
      <c r="H27" s="130">
        <f t="shared" ref="H27:J27" si="9">H16+H26</f>
        <v>0</v>
      </c>
      <c r="I27" s="130">
        <f t="shared" si="9"/>
        <v>0</v>
      </c>
      <c r="J27" s="130">
        <f t="shared" si="9"/>
        <v>-9.3132257461547852E-10</v>
      </c>
      <c r="K27" s="128">
        <v>0</v>
      </c>
      <c r="L27" s="128">
        <v>0</v>
      </c>
    </row>
    <row r="29" spans="1:49" x14ac:dyDescent="0.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</row>
    <row r="30" spans="1:49" x14ac:dyDescent="0.4">
      <c r="B30" s="143" t="s">
        <v>252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49" ht="15" customHeight="1" x14ac:dyDescent="0.4">
      <c r="B31" s="143" t="s">
        <v>253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49" ht="15" customHeight="1" x14ac:dyDescent="0.4">
      <c r="B32" s="143" t="s">
        <v>259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2:12" ht="36.75" customHeight="1" x14ac:dyDescent="0.4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2:12" ht="15" customHeight="1" x14ac:dyDescent="0.4">
      <c r="B34" s="144" t="s">
        <v>254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2:12" x14ac:dyDescent="0.4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37"/>
  <sheetViews>
    <sheetView topLeftCell="E1" zoomScale="90" zoomScaleNormal="90" workbookViewId="0">
      <selection activeCell="L116" sqref="L116"/>
    </sheetView>
  </sheetViews>
  <sheetFormatPr defaultRowHeight="14.6" x14ac:dyDescent="0.4"/>
  <cols>
    <col min="2" max="2" width="7.3828125" bestFit="1" customWidth="1"/>
    <col min="3" max="3" width="8.3828125" bestFit="1" customWidth="1"/>
    <col min="4" max="4" width="11.3828125" customWidth="1"/>
    <col min="5" max="5" width="8.3828125" customWidth="1"/>
    <col min="6" max="6" width="44.69140625" customWidth="1"/>
    <col min="7" max="10" width="25.23046875" customWidth="1"/>
    <col min="11" max="12" width="15.69140625" customWidth="1"/>
    <col min="16" max="16" width="12.53515625" style="138" bestFit="1" customWidth="1"/>
  </cols>
  <sheetData>
    <row r="1" spans="2:16" ht="17.600000000000001" x14ac:dyDescent="0.4">
      <c r="B1" s="3"/>
      <c r="C1" s="3"/>
      <c r="D1" s="3"/>
      <c r="E1" s="16"/>
      <c r="F1" s="3"/>
      <c r="G1" s="3"/>
      <c r="H1" s="3"/>
      <c r="I1" s="3"/>
      <c r="J1" s="3"/>
      <c r="K1" s="3"/>
      <c r="L1" s="16"/>
    </row>
    <row r="2" spans="2:16" ht="15.75" customHeight="1" x14ac:dyDescent="0.4">
      <c r="B2" s="142" t="s">
        <v>13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6" ht="17.600000000000001" x14ac:dyDescent="0.4">
      <c r="B3" s="3"/>
      <c r="C3" s="3"/>
      <c r="D3" s="3"/>
      <c r="E3" s="16"/>
      <c r="F3" s="3"/>
      <c r="G3" s="3"/>
      <c r="H3" s="3"/>
      <c r="I3" s="3"/>
      <c r="J3" s="4"/>
      <c r="K3" s="4"/>
      <c r="L3" s="4"/>
    </row>
    <row r="4" spans="2:16" ht="15.75" customHeight="1" x14ac:dyDescent="0.4">
      <c r="B4" s="142" t="s">
        <v>60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6" ht="17.600000000000001" x14ac:dyDescent="0.4">
      <c r="B5" s="3"/>
      <c r="C5" s="3"/>
      <c r="D5" s="3"/>
      <c r="E5" s="16"/>
      <c r="F5" s="3"/>
      <c r="G5" s="3"/>
      <c r="H5" s="3"/>
      <c r="I5" s="3"/>
      <c r="J5" s="4"/>
      <c r="K5" s="4"/>
      <c r="L5" s="4"/>
    </row>
    <row r="6" spans="2:16" ht="15.75" customHeight="1" x14ac:dyDescent="0.4">
      <c r="B6" s="142" t="s">
        <v>41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2:16" ht="17.600000000000001" x14ac:dyDescent="0.4">
      <c r="B7" s="3"/>
      <c r="C7" s="3"/>
      <c r="D7" s="3"/>
      <c r="E7" s="16"/>
      <c r="F7" s="3"/>
      <c r="G7" s="3"/>
      <c r="H7" s="3"/>
      <c r="I7" s="3"/>
      <c r="J7" s="4"/>
      <c r="K7" s="4"/>
      <c r="L7" s="4"/>
    </row>
    <row r="8" spans="2:16" ht="45" customHeight="1" x14ac:dyDescent="0.4">
      <c r="B8" s="166" t="s">
        <v>8</v>
      </c>
      <c r="C8" s="167"/>
      <c r="D8" s="167"/>
      <c r="E8" s="167"/>
      <c r="F8" s="168"/>
      <c r="G8" s="37" t="s">
        <v>255</v>
      </c>
      <c r="H8" s="37" t="s">
        <v>57</v>
      </c>
      <c r="I8" s="37" t="s">
        <v>54</v>
      </c>
      <c r="J8" s="37" t="s">
        <v>256</v>
      </c>
      <c r="K8" s="37" t="s">
        <v>25</v>
      </c>
      <c r="L8" s="37" t="s">
        <v>55</v>
      </c>
    </row>
    <row r="9" spans="2:16" x14ac:dyDescent="0.4">
      <c r="B9" s="166">
        <v>1</v>
      </c>
      <c r="C9" s="167"/>
      <c r="D9" s="167"/>
      <c r="E9" s="167"/>
      <c r="F9" s="168"/>
      <c r="G9" s="37">
        <v>2</v>
      </c>
      <c r="H9" s="37">
        <v>3</v>
      </c>
      <c r="I9" s="37">
        <v>4</v>
      </c>
      <c r="J9" s="37">
        <v>5</v>
      </c>
      <c r="K9" s="37" t="s">
        <v>39</v>
      </c>
      <c r="L9" s="37" t="s">
        <v>40</v>
      </c>
    </row>
    <row r="10" spans="2:16" x14ac:dyDescent="0.4">
      <c r="B10" s="8"/>
      <c r="C10" s="8"/>
      <c r="D10" s="8"/>
      <c r="E10" s="8"/>
      <c r="F10" s="8" t="s">
        <v>53</v>
      </c>
      <c r="G10" s="53">
        <f>G11+G40</f>
        <v>21957715.459999997</v>
      </c>
      <c r="H10" s="53">
        <f t="shared" ref="H10:J10" si="0">H11+H40</f>
        <v>11823818</v>
      </c>
      <c r="I10" s="53">
        <f t="shared" si="0"/>
        <v>11195682</v>
      </c>
      <c r="J10" s="53">
        <f t="shared" si="0"/>
        <v>10676550.6</v>
      </c>
      <c r="K10" s="66">
        <f>J10/G10</f>
        <v>0.48623230497040065</v>
      </c>
      <c r="L10" s="66">
        <f>J10/I10</f>
        <v>0.95363110527790984</v>
      </c>
    </row>
    <row r="11" spans="2:16" x14ac:dyDescent="0.4">
      <c r="B11" s="8">
        <v>6</v>
      </c>
      <c r="C11" s="8"/>
      <c r="D11" s="8"/>
      <c r="E11" s="8"/>
      <c r="F11" s="8" t="s">
        <v>3</v>
      </c>
      <c r="G11" s="55">
        <f>G12+G20+G25+G28+G31+G35</f>
        <v>21955349.329999998</v>
      </c>
      <c r="H11" s="55">
        <f>H12+H20+H25+H28+H31+H35</f>
        <v>11822889</v>
      </c>
      <c r="I11" s="55">
        <f>I12+I20+I25+I28+I31+I35</f>
        <v>11194753</v>
      </c>
      <c r="J11" s="55">
        <f>J12+J20+J25+J28+J31+J35</f>
        <v>10675829.51</v>
      </c>
      <c r="K11" s="67">
        <f t="shared" ref="K11:K45" si="1">J11/G11</f>
        <v>0.48625186279374955</v>
      </c>
      <c r="L11" s="67">
        <f t="shared" ref="L11:L43" si="2">J11/I11</f>
        <v>0.95364582943455745</v>
      </c>
    </row>
    <row r="12" spans="2:16" ht="24.9" x14ac:dyDescent="0.4">
      <c r="B12" s="8"/>
      <c r="C12" s="13">
        <v>63</v>
      </c>
      <c r="D12" s="13"/>
      <c r="E12" s="13"/>
      <c r="F12" s="25" t="s">
        <v>16</v>
      </c>
      <c r="G12" s="53">
        <f>G13+G17</f>
        <v>13531243.869999999</v>
      </c>
      <c r="H12" s="53">
        <f t="shared" ref="H12:J12" si="3">H13+H17</f>
        <v>3761888</v>
      </c>
      <c r="I12" s="53">
        <f t="shared" si="3"/>
        <v>3761888</v>
      </c>
      <c r="J12" s="53">
        <f t="shared" si="3"/>
        <v>3163438.53</v>
      </c>
      <c r="K12" s="66">
        <f t="shared" si="1"/>
        <v>0.23378771090022488</v>
      </c>
      <c r="L12" s="66">
        <f t="shared" si="2"/>
        <v>0.84091778649444104</v>
      </c>
    </row>
    <row r="13" spans="2:16" ht="24.9" x14ac:dyDescent="0.4">
      <c r="B13" s="9"/>
      <c r="C13" s="9"/>
      <c r="D13" s="9">
        <v>632</v>
      </c>
      <c r="E13" s="9"/>
      <c r="F13" s="25" t="s">
        <v>135</v>
      </c>
      <c r="G13" s="53">
        <f>SUM(G14:G16)</f>
        <v>12992285.17</v>
      </c>
      <c r="H13" s="53">
        <f t="shared" ref="H13:J13" si="4">SUM(H14:H16)</f>
        <v>3464234</v>
      </c>
      <c r="I13" s="53">
        <f t="shared" si="4"/>
        <v>3464234</v>
      </c>
      <c r="J13" s="53">
        <f t="shared" si="4"/>
        <v>2803760.23</v>
      </c>
      <c r="K13" s="66">
        <f t="shared" si="1"/>
        <v>0.21580193117020383</v>
      </c>
      <c r="L13" s="66">
        <f t="shared" si="2"/>
        <v>0.80934493166454691</v>
      </c>
    </row>
    <row r="14" spans="2:16" x14ac:dyDescent="0.4">
      <c r="B14" s="9"/>
      <c r="C14" s="9"/>
      <c r="D14" s="9"/>
      <c r="E14" s="9">
        <v>6321</v>
      </c>
      <c r="F14" s="9" t="s">
        <v>136</v>
      </c>
      <c r="G14" s="53">
        <f>44025.46</f>
        <v>44025.46</v>
      </c>
      <c r="H14" s="53">
        <f>120000</f>
        <v>120000</v>
      </c>
      <c r="I14" s="53">
        <v>120000</v>
      </c>
      <c r="J14" s="60">
        <v>123863.87</v>
      </c>
      <c r="K14" s="68">
        <f t="shared" si="1"/>
        <v>2.8134599842909078</v>
      </c>
      <c r="L14" s="68">
        <f t="shared" si="2"/>
        <v>1.0321989166666665</v>
      </c>
      <c r="P14" s="141"/>
    </row>
    <row r="15" spans="2:16" x14ac:dyDescent="0.4">
      <c r="B15" s="9"/>
      <c r="C15" s="9"/>
      <c r="D15" s="9"/>
      <c r="E15" s="9">
        <v>6323</v>
      </c>
      <c r="F15" s="9" t="s">
        <v>137</v>
      </c>
      <c r="G15" s="53">
        <f>141432.79+927925.15</f>
        <v>1069357.94</v>
      </c>
      <c r="H15" s="53">
        <f>493710+328035+1086842</f>
        <v>1908587</v>
      </c>
      <c r="I15" s="53">
        <f>493710+328035+1086842</f>
        <v>1908587</v>
      </c>
      <c r="J15" s="60">
        <f>322592.89+439702.79+39.82+360643.54+80512.82</f>
        <v>1203491.8599999999</v>
      </c>
      <c r="K15" s="68">
        <f t="shared" si="1"/>
        <v>1.1254340712147328</v>
      </c>
      <c r="L15" s="68">
        <f t="shared" si="2"/>
        <v>0.63056693773980432</v>
      </c>
    </row>
    <row r="16" spans="2:16" x14ac:dyDescent="0.4">
      <c r="B16" s="9"/>
      <c r="C16" s="9"/>
      <c r="D16" s="9"/>
      <c r="E16" s="9">
        <v>6324</v>
      </c>
      <c r="F16" s="9" t="s">
        <v>138</v>
      </c>
      <c r="G16" s="53">
        <f>11843688.75+35213.02</f>
        <v>11878901.77</v>
      </c>
      <c r="H16" s="53">
        <f>1420197+15450</f>
        <v>1435647</v>
      </c>
      <c r="I16" s="53">
        <f>1420197+15450</f>
        <v>1435647</v>
      </c>
      <c r="J16" s="60">
        <v>1476404.5</v>
      </c>
      <c r="K16" s="68">
        <f t="shared" si="1"/>
        <v>0.12428796269101568</v>
      </c>
      <c r="L16" s="68">
        <f t="shared" si="2"/>
        <v>1.0283896389572089</v>
      </c>
    </row>
    <row r="17" spans="2:12" x14ac:dyDescent="0.4">
      <c r="B17" s="9"/>
      <c r="C17" s="9"/>
      <c r="D17" s="9">
        <v>639</v>
      </c>
      <c r="E17" s="9"/>
      <c r="F17" s="9" t="s">
        <v>122</v>
      </c>
      <c r="G17" s="53">
        <f>SUM(G18:G19)</f>
        <v>538958.69999999995</v>
      </c>
      <c r="H17" s="53">
        <f t="shared" ref="H17:J17" si="5">SUM(H18:H19)</f>
        <v>297654</v>
      </c>
      <c r="I17" s="53">
        <f t="shared" si="5"/>
        <v>297654</v>
      </c>
      <c r="J17" s="53">
        <f t="shared" si="5"/>
        <v>359678.3</v>
      </c>
      <c r="K17" s="66">
        <f t="shared" si="1"/>
        <v>0.66735781424439389</v>
      </c>
      <c r="L17" s="66">
        <f t="shared" si="2"/>
        <v>1.2083771761844289</v>
      </c>
    </row>
    <row r="18" spans="2:12" ht="24.9" x14ac:dyDescent="0.4">
      <c r="B18" s="9"/>
      <c r="C18" s="9"/>
      <c r="D18" s="9"/>
      <c r="E18" s="9">
        <v>6391</v>
      </c>
      <c r="F18" s="25" t="s">
        <v>139</v>
      </c>
      <c r="G18" s="53">
        <v>494514.16</v>
      </c>
      <c r="H18" s="53">
        <v>291990</v>
      </c>
      <c r="I18" s="53">
        <v>291990</v>
      </c>
      <c r="J18" s="60">
        <v>318530.45</v>
      </c>
      <c r="K18" s="68">
        <v>0</v>
      </c>
      <c r="L18" s="68">
        <f t="shared" si="2"/>
        <v>1.0908950648994828</v>
      </c>
    </row>
    <row r="19" spans="2:12" ht="24.9" x14ac:dyDescent="0.4">
      <c r="B19" s="9"/>
      <c r="C19" s="9"/>
      <c r="D19" s="9"/>
      <c r="E19" s="9">
        <v>6393</v>
      </c>
      <c r="F19" s="25" t="s">
        <v>123</v>
      </c>
      <c r="G19" s="53">
        <v>44444.54</v>
      </c>
      <c r="H19" s="53">
        <v>5664</v>
      </c>
      <c r="I19" s="53">
        <v>5664</v>
      </c>
      <c r="J19" s="60">
        <v>41147.85</v>
      </c>
      <c r="K19" s="68">
        <f t="shared" si="1"/>
        <v>0.92582463447703578</v>
      </c>
      <c r="L19" s="68">
        <f t="shared" si="2"/>
        <v>7.2648040254237287</v>
      </c>
    </row>
    <row r="20" spans="2:12" x14ac:dyDescent="0.4">
      <c r="B20" s="9"/>
      <c r="C20" s="9">
        <v>64</v>
      </c>
      <c r="D20" s="9"/>
      <c r="E20" s="9"/>
      <c r="F20" s="9" t="s">
        <v>140</v>
      </c>
      <c r="G20" s="53">
        <f>G21</f>
        <v>657.64</v>
      </c>
      <c r="H20" s="53">
        <f t="shared" ref="H20:J20" si="6">H21</f>
        <v>1250</v>
      </c>
      <c r="I20" s="53">
        <f t="shared" si="6"/>
        <v>1250</v>
      </c>
      <c r="J20" s="53">
        <f t="shared" si="6"/>
        <v>1778.74</v>
      </c>
      <c r="K20" s="66">
        <f t="shared" si="1"/>
        <v>2.7047320722583783</v>
      </c>
      <c r="L20" s="66">
        <f t="shared" si="2"/>
        <v>1.422992</v>
      </c>
    </row>
    <row r="21" spans="2:12" x14ac:dyDescent="0.4">
      <c r="B21" s="9"/>
      <c r="C21" s="9"/>
      <c r="D21" s="9">
        <v>641</v>
      </c>
      <c r="E21" s="9"/>
      <c r="F21" s="9" t="s">
        <v>141</v>
      </c>
      <c r="G21" s="53">
        <f>SUM(G22:G24)</f>
        <v>657.64</v>
      </c>
      <c r="H21" s="53">
        <f t="shared" ref="H21:J21" si="7">SUM(H22:H24)</f>
        <v>1250</v>
      </c>
      <c r="I21" s="53">
        <f t="shared" si="7"/>
        <v>1250</v>
      </c>
      <c r="J21" s="53">
        <f t="shared" si="7"/>
        <v>1778.74</v>
      </c>
      <c r="K21" s="66">
        <f t="shared" si="1"/>
        <v>2.7047320722583783</v>
      </c>
      <c r="L21" s="66">
        <f t="shared" si="2"/>
        <v>1.422992</v>
      </c>
    </row>
    <row r="22" spans="2:12" x14ac:dyDescent="0.4">
      <c r="B22" s="9"/>
      <c r="C22" s="9"/>
      <c r="D22" s="9"/>
      <c r="E22" s="9">
        <v>6413</v>
      </c>
      <c r="F22" s="9" t="s">
        <v>142</v>
      </c>
      <c r="G22" s="53">
        <v>267.05</v>
      </c>
      <c r="H22" s="53">
        <v>1000</v>
      </c>
      <c r="I22" s="53">
        <v>1000</v>
      </c>
      <c r="J22" s="60">
        <v>1446.19</v>
      </c>
      <c r="K22" s="68">
        <f t="shared" si="1"/>
        <v>5.4154278225051486</v>
      </c>
      <c r="L22" s="68">
        <f t="shared" si="2"/>
        <v>1.4461900000000001</v>
      </c>
    </row>
    <row r="23" spans="2:12" x14ac:dyDescent="0.4">
      <c r="B23" s="9"/>
      <c r="C23" s="9"/>
      <c r="D23" s="9"/>
      <c r="E23" s="9">
        <v>6414</v>
      </c>
      <c r="F23" s="9" t="s">
        <v>143</v>
      </c>
      <c r="G23" s="53">
        <v>273.73</v>
      </c>
      <c r="H23" s="53">
        <v>250</v>
      </c>
      <c r="I23" s="53">
        <v>250</v>
      </c>
      <c r="J23" s="60">
        <v>332.55</v>
      </c>
      <c r="K23" s="68">
        <f t="shared" si="1"/>
        <v>1.2148832791436817</v>
      </c>
      <c r="L23" s="68">
        <f t="shared" si="2"/>
        <v>1.3302</v>
      </c>
    </row>
    <row r="24" spans="2:12" x14ac:dyDescent="0.4">
      <c r="B24" s="9"/>
      <c r="C24" s="9"/>
      <c r="D24" s="9"/>
      <c r="E24" s="9">
        <v>6415</v>
      </c>
      <c r="F24" s="9" t="s">
        <v>247</v>
      </c>
      <c r="G24" s="53">
        <v>116.86</v>
      </c>
      <c r="H24" s="53">
        <v>0</v>
      </c>
      <c r="I24" s="53">
        <v>0</v>
      </c>
      <c r="J24" s="60">
        <v>0</v>
      </c>
      <c r="K24" s="68">
        <f t="shared" si="1"/>
        <v>0</v>
      </c>
      <c r="L24" s="68">
        <v>0</v>
      </c>
    </row>
    <row r="25" spans="2:12" ht="24.9" x14ac:dyDescent="0.4">
      <c r="B25" s="9"/>
      <c r="C25" s="9">
        <v>65</v>
      </c>
      <c r="D25" s="9"/>
      <c r="E25" s="9"/>
      <c r="F25" s="25" t="s">
        <v>144</v>
      </c>
      <c r="G25" s="53">
        <f>G26</f>
        <v>0</v>
      </c>
      <c r="H25" s="53">
        <f t="shared" ref="H25:J26" si="8">H26</f>
        <v>18444</v>
      </c>
      <c r="I25" s="53">
        <f t="shared" si="8"/>
        <v>18444</v>
      </c>
      <c r="J25" s="53">
        <f t="shared" si="8"/>
        <v>5195</v>
      </c>
      <c r="K25" s="66">
        <v>0</v>
      </c>
      <c r="L25" s="66">
        <f t="shared" si="2"/>
        <v>0.28166341357623076</v>
      </c>
    </row>
    <row r="26" spans="2:12" x14ac:dyDescent="0.4">
      <c r="B26" s="9"/>
      <c r="C26" s="9"/>
      <c r="D26" s="9">
        <v>652</v>
      </c>
      <c r="E26" s="9"/>
      <c r="F26" s="9" t="s">
        <v>145</v>
      </c>
      <c r="G26" s="53">
        <f>G27</f>
        <v>0</v>
      </c>
      <c r="H26" s="53">
        <f t="shared" si="8"/>
        <v>18444</v>
      </c>
      <c r="I26" s="53">
        <f t="shared" si="8"/>
        <v>18444</v>
      </c>
      <c r="J26" s="53">
        <f t="shared" si="8"/>
        <v>5195</v>
      </c>
      <c r="K26" s="66">
        <v>0</v>
      </c>
      <c r="L26" s="66">
        <f t="shared" si="2"/>
        <v>0.28166341357623076</v>
      </c>
    </row>
    <row r="27" spans="2:12" x14ac:dyDescent="0.4">
      <c r="B27" s="9"/>
      <c r="C27" s="9"/>
      <c r="D27" s="9"/>
      <c r="E27" s="9">
        <v>6526</v>
      </c>
      <c r="F27" s="9" t="s">
        <v>146</v>
      </c>
      <c r="G27" s="53">
        <v>0</v>
      </c>
      <c r="H27" s="53">
        <v>18444</v>
      </c>
      <c r="I27" s="53">
        <v>18444</v>
      </c>
      <c r="J27" s="135">
        <v>5195</v>
      </c>
      <c r="K27" s="68">
        <v>0</v>
      </c>
      <c r="L27" s="68">
        <f t="shared" si="2"/>
        <v>0.28166341357623076</v>
      </c>
    </row>
    <row r="28" spans="2:12" ht="24.9" x14ac:dyDescent="0.4">
      <c r="B28" s="9"/>
      <c r="C28" s="9">
        <v>66</v>
      </c>
      <c r="D28" s="10"/>
      <c r="E28" s="10"/>
      <c r="F28" s="13" t="s">
        <v>152</v>
      </c>
      <c r="G28" s="53">
        <f>G29</f>
        <v>635868.66</v>
      </c>
      <c r="H28" s="53">
        <f t="shared" ref="H28:J29" si="9">H29</f>
        <v>571073</v>
      </c>
      <c r="I28" s="53">
        <f t="shared" si="9"/>
        <v>571073</v>
      </c>
      <c r="J28" s="53">
        <f t="shared" si="9"/>
        <v>747289.96</v>
      </c>
      <c r="K28" s="66">
        <f t="shared" si="1"/>
        <v>1.1752269092802905</v>
      </c>
      <c r="L28" s="66">
        <f t="shared" si="2"/>
        <v>1.3085716887333143</v>
      </c>
    </row>
    <row r="29" spans="2:12" x14ac:dyDescent="0.4">
      <c r="B29" s="9"/>
      <c r="C29" s="19"/>
      <c r="D29" s="9">
        <v>661</v>
      </c>
      <c r="E29" s="10"/>
      <c r="F29" s="13" t="s">
        <v>32</v>
      </c>
      <c r="G29" s="53">
        <f>G30</f>
        <v>635868.66</v>
      </c>
      <c r="H29" s="53">
        <f t="shared" si="9"/>
        <v>571073</v>
      </c>
      <c r="I29" s="53">
        <f t="shared" si="9"/>
        <v>571073</v>
      </c>
      <c r="J29" s="53">
        <f t="shared" si="9"/>
        <v>747289.96</v>
      </c>
      <c r="K29" s="66">
        <f t="shared" si="1"/>
        <v>1.1752269092802905</v>
      </c>
      <c r="L29" s="66">
        <f t="shared" si="2"/>
        <v>1.3085716887333143</v>
      </c>
    </row>
    <row r="30" spans="2:12" x14ac:dyDescent="0.4">
      <c r="B30" s="9"/>
      <c r="C30" s="19"/>
      <c r="D30" s="10"/>
      <c r="E30" s="9">
        <v>6615</v>
      </c>
      <c r="F30" s="13" t="s">
        <v>147</v>
      </c>
      <c r="G30" s="53">
        <v>635868.66</v>
      </c>
      <c r="H30" s="53">
        <v>571073</v>
      </c>
      <c r="I30" s="53">
        <v>571073</v>
      </c>
      <c r="J30" s="60">
        <v>747289.96</v>
      </c>
      <c r="K30" s="68">
        <f t="shared" si="1"/>
        <v>1.1752269092802905</v>
      </c>
      <c r="L30" s="68">
        <f t="shared" si="2"/>
        <v>1.3085716887333143</v>
      </c>
    </row>
    <row r="31" spans="2:12" ht="24.9" x14ac:dyDescent="0.4">
      <c r="B31" s="9"/>
      <c r="C31" s="9">
        <v>67</v>
      </c>
      <c r="D31" s="10"/>
      <c r="E31" s="10"/>
      <c r="F31" s="13" t="s">
        <v>243</v>
      </c>
      <c r="G31" s="53">
        <f>G32</f>
        <v>7787198.6900000004</v>
      </c>
      <c r="H31" s="53">
        <f t="shared" ref="H31" si="10">H32</f>
        <v>7470184</v>
      </c>
      <c r="I31" s="53">
        <f t="shared" ref="I31" si="11">I32</f>
        <v>6842048</v>
      </c>
      <c r="J31" s="53">
        <f t="shared" ref="J31" si="12">J32</f>
        <v>6758104.7799999993</v>
      </c>
      <c r="K31" s="66">
        <f t="shared" ref="K31:K34" si="13">J31/G31</f>
        <v>0.86784799631200871</v>
      </c>
      <c r="L31" s="66">
        <f>J31/I31</f>
        <v>0.9877312728586527</v>
      </c>
    </row>
    <row r="32" spans="2:12" ht="24.9" x14ac:dyDescent="0.4">
      <c r="B32" s="9"/>
      <c r="C32" s="19"/>
      <c r="D32" s="9">
        <v>671</v>
      </c>
      <c r="E32" s="10"/>
      <c r="F32" s="13" t="s">
        <v>244</v>
      </c>
      <c r="G32" s="53">
        <f>SUM(G33:G34)</f>
        <v>7787198.6900000004</v>
      </c>
      <c r="H32" s="53">
        <f t="shared" ref="H32:J32" si="14">SUM(H33:H34)</f>
        <v>7470184</v>
      </c>
      <c r="I32" s="53">
        <f t="shared" si="14"/>
        <v>6842048</v>
      </c>
      <c r="J32" s="53">
        <f t="shared" si="14"/>
        <v>6758104.7799999993</v>
      </c>
      <c r="K32" s="66">
        <f t="shared" si="13"/>
        <v>0.86784799631200871</v>
      </c>
      <c r="L32" s="66">
        <f t="shared" ref="L32:L34" si="15">J32/I32</f>
        <v>0.9877312728586527</v>
      </c>
    </row>
    <row r="33" spans="2:12" ht="24.9" x14ac:dyDescent="0.4">
      <c r="B33" s="9"/>
      <c r="C33" s="19"/>
      <c r="D33" s="10"/>
      <c r="E33" s="9">
        <v>6711</v>
      </c>
      <c r="F33" s="13" t="s">
        <v>245</v>
      </c>
      <c r="G33" s="53">
        <f>5120203.48+163751.49</f>
        <v>5283954.9700000007</v>
      </c>
      <c r="H33" s="53">
        <f>6707304+59082</f>
        <v>6766386</v>
      </c>
      <c r="I33" s="53">
        <f>6129126+57236</f>
        <v>6186362</v>
      </c>
      <c r="J33" s="60">
        <v>6119787.0599999996</v>
      </c>
      <c r="K33" s="68">
        <f t="shared" si="13"/>
        <v>1.1581830456060829</v>
      </c>
      <c r="L33" s="68">
        <f t="shared" si="15"/>
        <v>0.98923843447893922</v>
      </c>
    </row>
    <row r="34" spans="2:12" ht="24.9" x14ac:dyDescent="0.4">
      <c r="B34" s="9"/>
      <c r="C34" s="19"/>
      <c r="D34" s="10"/>
      <c r="E34" s="9">
        <v>6712</v>
      </c>
      <c r="F34" s="13" t="s">
        <v>246</v>
      </c>
      <c r="G34" s="53">
        <f>413181+2090062.72</f>
        <v>2503243.7199999997</v>
      </c>
      <c r="H34" s="53">
        <f>449439+254359</f>
        <v>703798</v>
      </c>
      <c r="I34" s="53">
        <f>401327+254359</f>
        <v>655686</v>
      </c>
      <c r="J34" s="60">
        <v>638317.72</v>
      </c>
      <c r="K34" s="68">
        <f t="shared" si="13"/>
        <v>0.25499623344705724</v>
      </c>
      <c r="L34" s="68">
        <f t="shared" si="15"/>
        <v>0.97351128436477208</v>
      </c>
    </row>
    <row r="35" spans="2:12" x14ac:dyDescent="0.4">
      <c r="B35" s="9"/>
      <c r="C35" s="9">
        <v>68</v>
      </c>
      <c r="D35" s="10"/>
      <c r="E35" s="9"/>
      <c r="F35" s="13" t="s">
        <v>148</v>
      </c>
      <c r="G35" s="53">
        <f>G36+G38</f>
        <v>380.47</v>
      </c>
      <c r="H35" s="53">
        <f t="shared" ref="H35:J35" si="16">H36+H38</f>
        <v>50</v>
      </c>
      <c r="I35" s="53">
        <f t="shared" si="16"/>
        <v>50</v>
      </c>
      <c r="J35" s="53">
        <f t="shared" si="16"/>
        <v>22.5</v>
      </c>
      <c r="K35" s="66">
        <f t="shared" si="1"/>
        <v>5.9137382710857618E-2</v>
      </c>
      <c r="L35" s="66">
        <f t="shared" si="2"/>
        <v>0.45</v>
      </c>
    </row>
    <row r="36" spans="2:12" x14ac:dyDescent="0.4">
      <c r="B36" s="9"/>
      <c r="C36" s="19"/>
      <c r="D36" s="9">
        <v>681</v>
      </c>
      <c r="E36" s="9"/>
      <c r="F36" s="13" t="s">
        <v>149</v>
      </c>
      <c r="G36" s="53">
        <f>G37</f>
        <v>0</v>
      </c>
      <c r="H36" s="53">
        <f t="shared" ref="H36:J36" si="17">H37</f>
        <v>0</v>
      </c>
      <c r="I36" s="53">
        <f t="shared" si="17"/>
        <v>0</v>
      </c>
      <c r="J36" s="53">
        <f t="shared" si="17"/>
        <v>0</v>
      </c>
      <c r="K36" s="66">
        <v>0</v>
      </c>
      <c r="L36" s="66">
        <v>0</v>
      </c>
    </row>
    <row r="37" spans="2:12" x14ac:dyDescent="0.4">
      <c r="B37" s="9"/>
      <c r="C37" s="9"/>
      <c r="D37" s="10"/>
      <c r="E37" s="9">
        <v>6819</v>
      </c>
      <c r="F37" s="13" t="s">
        <v>150</v>
      </c>
      <c r="G37" s="53">
        <v>0</v>
      </c>
      <c r="H37" s="53">
        <v>0</v>
      </c>
      <c r="I37" s="53">
        <v>0</v>
      </c>
      <c r="J37" s="135">
        <v>0</v>
      </c>
      <c r="K37" s="68">
        <v>0</v>
      </c>
      <c r="L37" s="68">
        <v>0</v>
      </c>
    </row>
    <row r="38" spans="2:12" x14ac:dyDescent="0.4">
      <c r="B38" s="9"/>
      <c r="C38" s="9"/>
      <c r="D38" s="9">
        <v>683</v>
      </c>
      <c r="E38" s="9"/>
      <c r="F38" s="13" t="s">
        <v>151</v>
      </c>
      <c r="G38" s="53">
        <f>G39</f>
        <v>380.47</v>
      </c>
      <c r="H38" s="53">
        <f t="shared" ref="H38:J38" si="18">H39</f>
        <v>50</v>
      </c>
      <c r="I38" s="53">
        <f>I39</f>
        <v>50</v>
      </c>
      <c r="J38" s="53">
        <f t="shared" si="18"/>
        <v>22.5</v>
      </c>
      <c r="K38" s="66">
        <f t="shared" si="1"/>
        <v>5.9137382710857618E-2</v>
      </c>
      <c r="L38" s="66">
        <f t="shared" si="2"/>
        <v>0.45</v>
      </c>
    </row>
    <row r="39" spans="2:12" x14ac:dyDescent="0.4">
      <c r="B39" s="9"/>
      <c r="C39" s="9"/>
      <c r="D39" s="10"/>
      <c r="E39" s="9">
        <v>6831</v>
      </c>
      <c r="F39" s="13" t="s">
        <v>151</v>
      </c>
      <c r="G39" s="53">
        <v>380.47</v>
      </c>
      <c r="H39" s="53">
        <v>50</v>
      </c>
      <c r="I39" s="53">
        <v>50</v>
      </c>
      <c r="J39" s="60">
        <v>22.5</v>
      </c>
      <c r="K39" s="68">
        <f t="shared" si="1"/>
        <v>5.9137382710857618E-2</v>
      </c>
      <c r="L39" s="68">
        <f t="shared" si="2"/>
        <v>0.45</v>
      </c>
    </row>
    <row r="40" spans="2:12" x14ac:dyDescent="0.4">
      <c r="B40" s="19">
        <v>7</v>
      </c>
      <c r="C40" s="9"/>
      <c r="D40" s="10"/>
      <c r="E40" s="10"/>
      <c r="F40" s="13" t="s">
        <v>23</v>
      </c>
      <c r="G40" s="62">
        <f>G41</f>
        <v>2366.13</v>
      </c>
      <c r="H40" s="62">
        <f t="shared" ref="H40:J42" si="19">H41</f>
        <v>929</v>
      </c>
      <c r="I40" s="62">
        <f t="shared" si="19"/>
        <v>929</v>
      </c>
      <c r="J40" s="62">
        <f t="shared" si="19"/>
        <v>721.09</v>
      </c>
      <c r="K40" s="69">
        <f t="shared" si="1"/>
        <v>0.3047550219134198</v>
      </c>
      <c r="L40" s="69">
        <f t="shared" si="2"/>
        <v>0.77620021528525296</v>
      </c>
    </row>
    <row r="41" spans="2:12" ht="30.75" customHeight="1" x14ac:dyDescent="0.4">
      <c r="B41" s="9"/>
      <c r="C41" s="9">
        <v>72</v>
      </c>
      <c r="D41" s="10"/>
      <c r="E41" s="10"/>
      <c r="F41" s="25" t="s">
        <v>24</v>
      </c>
      <c r="G41" s="53">
        <f>G42+G44</f>
        <v>2366.13</v>
      </c>
      <c r="H41" s="53">
        <f t="shared" ref="H41:J41" si="20">H42+H44</f>
        <v>929</v>
      </c>
      <c r="I41" s="53">
        <f t="shared" si="20"/>
        <v>929</v>
      </c>
      <c r="J41" s="53">
        <f t="shared" si="20"/>
        <v>721.09</v>
      </c>
      <c r="K41" s="66">
        <f t="shared" si="1"/>
        <v>0.3047550219134198</v>
      </c>
      <c r="L41" s="66">
        <f t="shared" si="2"/>
        <v>0.77620021528525296</v>
      </c>
    </row>
    <row r="42" spans="2:12" x14ac:dyDescent="0.4">
      <c r="B42" s="9"/>
      <c r="C42" s="9"/>
      <c r="D42" s="9">
        <v>721</v>
      </c>
      <c r="E42" s="9"/>
      <c r="F42" s="25" t="s">
        <v>33</v>
      </c>
      <c r="G42" s="53">
        <f>G43</f>
        <v>1022.5</v>
      </c>
      <c r="H42" s="53">
        <f t="shared" si="19"/>
        <v>929</v>
      </c>
      <c r="I42" s="53">
        <f t="shared" si="19"/>
        <v>929</v>
      </c>
      <c r="J42" s="53">
        <f t="shared" si="19"/>
        <v>721.09</v>
      </c>
      <c r="K42" s="66">
        <f t="shared" si="1"/>
        <v>0.70522249388753055</v>
      </c>
      <c r="L42" s="66">
        <f t="shared" si="2"/>
        <v>0.77620021528525296</v>
      </c>
    </row>
    <row r="43" spans="2:12" x14ac:dyDescent="0.4">
      <c r="B43" s="9"/>
      <c r="C43" s="9"/>
      <c r="D43" s="9"/>
      <c r="E43" s="9">
        <v>7211</v>
      </c>
      <c r="F43" s="25" t="s">
        <v>34</v>
      </c>
      <c r="G43" s="53">
        <v>1022.5</v>
      </c>
      <c r="H43" s="53">
        <v>929</v>
      </c>
      <c r="I43" s="53">
        <v>929</v>
      </c>
      <c r="J43" s="60">
        <v>721.09</v>
      </c>
      <c r="K43" s="68">
        <f t="shared" si="1"/>
        <v>0.70522249388753055</v>
      </c>
      <c r="L43" s="68">
        <f t="shared" si="2"/>
        <v>0.77620021528525296</v>
      </c>
    </row>
    <row r="44" spans="2:12" x14ac:dyDescent="0.4">
      <c r="B44" s="9"/>
      <c r="C44" s="9"/>
      <c r="D44" s="9">
        <v>722</v>
      </c>
      <c r="E44" s="9"/>
      <c r="F44" s="25" t="s">
        <v>153</v>
      </c>
      <c r="G44" s="53">
        <f>G45</f>
        <v>1343.63</v>
      </c>
      <c r="H44" s="53">
        <f t="shared" ref="H44:J44" si="21">H45</f>
        <v>0</v>
      </c>
      <c r="I44" s="53">
        <f t="shared" si="21"/>
        <v>0</v>
      </c>
      <c r="J44" s="53">
        <f t="shared" si="21"/>
        <v>0</v>
      </c>
      <c r="K44" s="68">
        <f t="shared" si="1"/>
        <v>0</v>
      </c>
      <c r="L44" s="68">
        <v>0</v>
      </c>
    </row>
    <row r="45" spans="2:12" x14ac:dyDescent="0.4">
      <c r="B45" s="9"/>
      <c r="C45" s="9"/>
      <c r="D45" s="9"/>
      <c r="E45" s="9">
        <v>7221</v>
      </c>
      <c r="F45" s="25" t="s">
        <v>154</v>
      </c>
      <c r="G45" s="53">
        <v>1343.63</v>
      </c>
      <c r="H45" s="53">
        <v>0</v>
      </c>
      <c r="I45" s="53">
        <v>0</v>
      </c>
      <c r="J45" s="60">
        <v>0</v>
      </c>
      <c r="K45" s="68">
        <f t="shared" si="1"/>
        <v>0</v>
      </c>
      <c r="L45" s="68">
        <v>0</v>
      </c>
    </row>
    <row r="46" spans="2:12" x14ac:dyDescent="0.4">
      <c r="B46" s="70"/>
      <c r="C46" s="70"/>
      <c r="D46" s="70"/>
      <c r="E46" s="70"/>
      <c r="F46" s="71"/>
      <c r="G46" s="72"/>
      <c r="H46" s="72"/>
      <c r="I46" s="72"/>
      <c r="J46" s="73"/>
      <c r="K46" s="74"/>
      <c r="L46" s="74"/>
    </row>
    <row r="47" spans="2:12" x14ac:dyDescent="0.4">
      <c r="B47" s="59"/>
      <c r="C47" s="59"/>
      <c r="D47" s="59"/>
      <c r="E47" s="59"/>
      <c r="F47" s="59"/>
      <c r="G47" s="59"/>
      <c r="H47" s="59"/>
      <c r="I47" s="59"/>
      <c r="J47" s="4"/>
      <c r="K47" s="4"/>
      <c r="L47" s="4"/>
    </row>
    <row r="48" spans="2:12" ht="36.75" customHeight="1" x14ac:dyDescent="0.4">
      <c r="B48" s="166" t="s">
        <v>8</v>
      </c>
      <c r="C48" s="167"/>
      <c r="D48" s="167"/>
      <c r="E48" s="167"/>
      <c r="F48" s="168"/>
      <c r="G48" s="37" t="s">
        <v>255</v>
      </c>
      <c r="H48" s="37" t="s">
        <v>57</v>
      </c>
      <c r="I48" s="37" t="s">
        <v>54</v>
      </c>
      <c r="J48" s="37" t="s">
        <v>256</v>
      </c>
      <c r="K48" s="37" t="s">
        <v>25</v>
      </c>
      <c r="L48" s="37" t="s">
        <v>55</v>
      </c>
    </row>
    <row r="49" spans="2:16" x14ac:dyDescent="0.4">
      <c r="B49" s="166">
        <v>1</v>
      </c>
      <c r="C49" s="167"/>
      <c r="D49" s="167"/>
      <c r="E49" s="167"/>
      <c r="F49" s="168"/>
      <c r="G49" s="37">
        <v>2</v>
      </c>
      <c r="H49" s="37">
        <v>3</v>
      </c>
      <c r="I49" s="37">
        <v>4</v>
      </c>
      <c r="J49" s="37">
        <v>5</v>
      </c>
      <c r="K49" s="37" t="s">
        <v>39</v>
      </c>
      <c r="L49" s="37" t="s">
        <v>40</v>
      </c>
    </row>
    <row r="50" spans="2:16" x14ac:dyDescent="0.4">
      <c r="B50" s="8"/>
      <c r="C50" s="8"/>
      <c r="D50" s="8"/>
      <c r="E50" s="8"/>
      <c r="F50" s="8" t="s">
        <v>52</v>
      </c>
      <c r="G50" s="53">
        <f>G51+G104</f>
        <v>22052316.569999997</v>
      </c>
      <c r="H50" s="53">
        <f t="shared" ref="H50:J50" si="22">H51+H104</f>
        <v>12588196</v>
      </c>
      <c r="I50" s="53">
        <f t="shared" si="22"/>
        <v>11960060</v>
      </c>
      <c r="J50" s="53">
        <f t="shared" si="22"/>
        <v>10495020.140000001</v>
      </c>
      <c r="K50" s="68">
        <f>J50/G50</f>
        <v>0.47591463267298822</v>
      </c>
      <c r="L50" s="68">
        <f>J50/I50</f>
        <v>0.8775056429482796</v>
      </c>
    </row>
    <row r="51" spans="2:16" s="51" customFormat="1" x14ac:dyDescent="0.4">
      <c r="B51" s="8">
        <v>3</v>
      </c>
      <c r="C51" s="8"/>
      <c r="D51" s="8"/>
      <c r="E51" s="8"/>
      <c r="F51" s="8" t="s">
        <v>4</v>
      </c>
      <c r="G51" s="56">
        <f>G52+G61+G92+G97+G101</f>
        <v>7639137.2499999991</v>
      </c>
      <c r="H51" s="56">
        <f t="shared" ref="H51:J51" si="23">H52+H61+H92+H97+H101</f>
        <v>10426479</v>
      </c>
      <c r="I51" s="56">
        <f t="shared" si="23"/>
        <v>9846455</v>
      </c>
      <c r="J51" s="56">
        <f t="shared" si="23"/>
        <v>8369179.75</v>
      </c>
      <c r="K51" s="76">
        <f t="shared" ref="K51:K118" si="24">J51/G51</f>
        <v>1.0955660928856856</v>
      </c>
      <c r="L51" s="76">
        <f t="shared" ref="L51:L118" si="25">J51/I51</f>
        <v>0.84996882126613083</v>
      </c>
      <c r="P51" s="139"/>
    </row>
    <row r="52" spans="2:16" x14ac:dyDescent="0.4">
      <c r="B52" s="8"/>
      <c r="C52" s="13">
        <v>31</v>
      </c>
      <c r="D52" s="13"/>
      <c r="E52" s="13"/>
      <c r="F52" s="13" t="s">
        <v>5</v>
      </c>
      <c r="G52" s="53">
        <f>G53+G56+G58</f>
        <v>4995815.32</v>
      </c>
      <c r="H52" s="53">
        <f t="shared" ref="H52:J52" si="26">H53+H56+H58</f>
        <v>6982217</v>
      </c>
      <c r="I52" s="53">
        <f t="shared" si="26"/>
        <v>6702307</v>
      </c>
      <c r="J52" s="53">
        <f t="shared" si="26"/>
        <v>5954726.1100000003</v>
      </c>
      <c r="K52" s="68">
        <f t="shared" si="24"/>
        <v>1.1919428018408014</v>
      </c>
      <c r="L52" s="68">
        <f t="shared" si="25"/>
        <v>0.88845916935765556</v>
      </c>
    </row>
    <row r="53" spans="2:16" x14ac:dyDescent="0.4">
      <c r="B53" s="9"/>
      <c r="C53" s="9"/>
      <c r="D53" s="9">
        <v>311</v>
      </c>
      <c r="E53" s="9"/>
      <c r="F53" s="9" t="s">
        <v>35</v>
      </c>
      <c r="G53" s="53">
        <f>SUM(G54:G55)</f>
        <v>4163718.2800000003</v>
      </c>
      <c r="H53" s="53">
        <f t="shared" ref="H53:I53" si="27">SUM(H54:H55)</f>
        <v>5595991</v>
      </c>
      <c r="I53" s="53">
        <f t="shared" si="27"/>
        <v>5356462</v>
      </c>
      <c r="J53" s="53">
        <f>SUM(J54:J55)</f>
        <v>5016411.76</v>
      </c>
      <c r="K53" s="68">
        <f t="shared" si="24"/>
        <v>1.2047913481793009</v>
      </c>
      <c r="L53" s="68">
        <f t="shared" si="25"/>
        <v>0.93651588679243869</v>
      </c>
    </row>
    <row r="54" spans="2:16" x14ac:dyDescent="0.4">
      <c r="B54" s="9"/>
      <c r="C54" s="9"/>
      <c r="D54" s="9"/>
      <c r="E54" s="9">
        <v>3111</v>
      </c>
      <c r="F54" s="9" t="s">
        <v>36</v>
      </c>
      <c r="G54" s="53">
        <v>4152296.95</v>
      </c>
      <c r="H54" s="53">
        <v>5581219</v>
      </c>
      <c r="I54" s="53">
        <v>5341690</v>
      </c>
      <c r="J54" s="60">
        <v>4999845.97</v>
      </c>
      <c r="K54" s="68">
        <f t="shared" si="24"/>
        <v>1.2041157051641018</v>
      </c>
      <c r="L54" s="68">
        <f t="shared" si="25"/>
        <v>0.93600451729696033</v>
      </c>
    </row>
    <row r="55" spans="2:16" x14ac:dyDescent="0.4">
      <c r="B55" s="9"/>
      <c r="C55" s="9"/>
      <c r="D55" s="9"/>
      <c r="E55" s="9">
        <v>3112</v>
      </c>
      <c r="F55" s="9" t="s">
        <v>67</v>
      </c>
      <c r="G55" s="53">
        <v>11421.33</v>
      </c>
      <c r="H55" s="53">
        <v>14772</v>
      </c>
      <c r="I55" s="53">
        <v>14772</v>
      </c>
      <c r="J55" s="53">
        <v>16565.79</v>
      </c>
      <c r="K55" s="68">
        <f t="shared" si="24"/>
        <v>1.4504256509530853</v>
      </c>
      <c r="L55" s="68">
        <f t="shared" si="25"/>
        <v>1.1214317627944761</v>
      </c>
    </row>
    <row r="56" spans="2:16" x14ac:dyDescent="0.4">
      <c r="B56" s="9"/>
      <c r="C56" s="9"/>
      <c r="D56" s="9">
        <v>312</v>
      </c>
      <c r="E56" s="9"/>
      <c r="F56" s="9" t="s">
        <v>68</v>
      </c>
      <c r="G56" s="53">
        <f>G57</f>
        <v>193318.22</v>
      </c>
      <c r="H56" s="53">
        <f t="shared" ref="H56:J56" si="28">H57</f>
        <v>410618</v>
      </c>
      <c r="I56" s="53">
        <f t="shared" si="28"/>
        <v>410618</v>
      </c>
      <c r="J56" s="53">
        <f t="shared" si="28"/>
        <v>144190.19</v>
      </c>
      <c r="K56" s="68">
        <f t="shared" si="24"/>
        <v>0.74586963401587292</v>
      </c>
      <c r="L56" s="68">
        <f t="shared" si="25"/>
        <v>0.3511540896892002</v>
      </c>
    </row>
    <row r="57" spans="2:16" x14ac:dyDescent="0.4">
      <c r="B57" s="9"/>
      <c r="C57" s="9"/>
      <c r="D57" s="9"/>
      <c r="E57" s="9">
        <v>3121</v>
      </c>
      <c r="F57" s="9" t="s">
        <v>68</v>
      </c>
      <c r="G57" s="53">
        <v>193318.22</v>
      </c>
      <c r="H57" s="53">
        <v>410618</v>
      </c>
      <c r="I57" s="53">
        <v>410618</v>
      </c>
      <c r="J57" s="60">
        <v>144190.19</v>
      </c>
      <c r="K57" s="68">
        <f t="shared" si="24"/>
        <v>0.74586963401587292</v>
      </c>
      <c r="L57" s="68">
        <f t="shared" si="25"/>
        <v>0.3511540896892002</v>
      </c>
    </row>
    <row r="58" spans="2:16" x14ac:dyDescent="0.4">
      <c r="B58" s="9"/>
      <c r="C58" s="9"/>
      <c r="D58" s="9">
        <v>313</v>
      </c>
      <c r="E58" s="9"/>
      <c r="F58" s="9" t="s">
        <v>69</v>
      </c>
      <c r="G58" s="53">
        <f>SUM(G59:G60)</f>
        <v>638778.82000000007</v>
      </c>
      <c r="H58" s="53">
        <f t="shared" ref="H58:J58" si="29">SUM(H59:H60)</f>
        <v>975608</v>
      </c>
      <c r="I58" s="53">
        <f t="shared" si="29"/>
        <v>935227</v>
      </c>
      <c r="J58" s="53">
        <f t="shared" si="29"/>
        <v>794124.16</v>
      </c>
      <c r="K58" s="68">
        <f t="shared" si="24"/>
        <v>1.2431911252160801</v>
      </c>
      <c r="L58" s="68">
        <f t="shared" si="25"/>
        <v>0.84912450132427741</v>
      </c>
    </row>
    <row r="59" spans="2:16" x14ac:dyDescent="0.4">
      <c r="B59" s="9"/>
      <c r="C59" s="9"/>
      <c r="D59" s="9"/>
      <c r="E59" s="9">
        <v>3132</v>
      </c>
      <c r="F59" s="9" t="s">
        <v>70</v>
      </c>
      <c r="G59" s="53">
        <v>638636.81000000006</v>
      </c>
      <c r="H59" s="53">
        <v>975558</v>
      </c>
      <c r="I59" s="53">
        <v>935227</v>
      </c>
      <c r="J59" s="60">
        <v>794124.16</v>
      </c>
      <c r="K59" s="68">
        <f t="shared" si="24"/>
        <v>1.2434675664874375</v>
      </c>
      <c r="L59" s="68">
        <f t="shared" si="25"/>
        <v>0.84912450132427741</v>
      </c>
    </row>
    <row r="60" spans="2:16" ht="24.9" x14ac:dyDescent="0.4">
      <c r="B60" s="9"/>
      <c r="C60" s="9"/>
      <c r="D60" s="9"/>
      <c r="E60" s="9">
        <v>3133</v>
      </c>
      <c r="F60" s="13" t="s">
        <v>71</v>
      </c>
      <c r="G60" s="53">
        <v>142.01</v>
      </c>
      <c r="H60" s="53">
        <v>50</v>
      </c>
      <c r="I60" s="53">
        <v>0</v>
      </c>
      <c r="J60" s="60">
        <v>0</v>
      </c>
      <c r="K60" s="68">
        <f t="shared" si="24"/>
        <v>0</v>
      </c>
      <c r="L60" s="68">
        <v>0</v>
      </c>
    </row>
    <row r="61" spans="2:16" x14ac:dyDescent="0.4">
      <c r="B61" s="9"/>
      <c r="C61" s="9">
        <v>32</v>
      </c>
      <c r="D61" s="10"/>
      <c r="E61" s="10"/>
      <c r="F61" s="9" t="s">
        <v>14</v>
      </c>
      <c r="G61" s="53">
        <f>G62+G66+G72+G82+G84</f>
        <v>2479784.4699999993</v>
      </c>
      <c r="H61" s="53">
        <f t="shared" ref="H61:J61" si="30">H62+H66+H72+H82+H84</f>
        <v>3110757</v>
      </c>
      <c r="I61" s="53">
        <f t="shared" si="30"/>
        <v>2821351</v>
      </c>
      <c r="J61" s="53">
        <f t="shared" si="30"/>
        <v>2223045.6599999997</v>
      </c>
      <c r="K61" s="68">
        <f t="shared" si="24"/>
        <v>0.89646728854625024</v>
      </c>
      <c r="L61" s="68">
        <f t="shared" si="25"/>
        <v>0.78793658073738426</v>
      </c>
    </row>
    <row r="62" spans="2:16" x14ac:dyDescent="0.4">
      <c r="B62" s="9"/>
      <c r="C62" s="9"/>
      <c r="D62" s="9">
        <v>321</v>
      </c>
      <c r="E62" s="9"/>
      <c r="F62" s="9" t="s">
        <v>37</v>
      </c>
      <c r="G62" s="53">
        <f>SUM(G63:G65)</f>
        <v>179955.96999999997</v>
      </c>
      <c r="H62" s="53">
        <f t="shared" ref="H62:J62" si="31">SUM(H63:H65)</f>
        <v>313942</v>
      </c>
      <c r="I62" s="53">
        <f t="shared" si="31"/>
        <v>290290</v>
      </c>
      <c r="J62" s="53">
        <f t="shared" si="31"/>
        <v>231662.33999999997</v>
      </c>
      <c r="K62" s="68">
        <f t="shared" si="24"/>
        <v>1.2873278947066886</v>
      </c>
      <c r="L62" s="68">
        <f t="shared" si="25"/>
        <v>0.7980376175548588</v>
      </c>
    </row>
    <row r="63" spans="2:16" x14ac:dyDescent="0.4">
      <c r="B63" s="9"/>
      <c r="C63" s="19"/>
      <c r="D63" s="9"/>
      <c r="E63" s="9">
        <v>3211</v>
      </c>
      <c r="F63" s="25" t="s">
        <v>38</v>
      </c>
      <c r="G63" s="53">
        <v>53616.09</v>
      </c>
      <c r="H63" s="53">
        <v>112314</v>
      </c>
      <c r="I63" s="53">
        <v>101996</v>
      </c>
      <c r="J63" s="60">
        <f>82829-39.83+39.83</f>
        <v>82829</v>
      </c>
      <c r="K63" s="68">
        <f t="shared" si="24"/>
        <v>1.5448534199342028</v>
      </c>
      <c r="L63" s="68">
        <f t="shared" si="25"/>
        <v>0.81208086591631046</v>
      </c>
    </row>
    <row r="64" spans="2:16" x14ac:dyDescent="0.4">
      <c r="B64" s="9"/>
      <c r="C64" s="19"/>
      <c r="D64" s="9"/>
      <c r="E64" s="9">
        <v>3212</v>
      </c>
      <c r="F64" s="25" t="s">
        <v>72</v>
      </c>
      <c r="G64" s="53">
        <v>103491.52</v>
      </c>
      <c r="H64" s="53">
        <v>137900</v>
      </c>
      <c r="I64" s="53">
        <v>125900</v>
      </c>
      <c r="J64" s="60">
        <v>121947.23</v>
      </c>
      <c r="K64" s="68">
        <f t="shared" si="24"/>
        <v>1.1783306496996082</v>
      </c>
      <c r="L64" s="68">
        <f t="shared" si="25"/>
        <v>0.96860389197776009</v>
      </c>
    </row>
    <row r="65" spans="2:12" x14ac:dyDescent="0.4">
      <c r="B65" s="9"/>
      <c r="C65" s="19"/>
      <c r="D65" s="9"/>
      <c r="E65" s="9">
        <v>3213</v>
      </c>
      <c r="F65" s="25" t="s">
        <v>73</v>
      </c>
      <c r="G65" s="53">
        <v>22848.36</v>
      </c>
      <c r="H65" s="53">
        <v>63728</v>
      </c>
      <c r="I65" s="53">
        <v>62394</v>
      </c>
      <c r="J65" s="60">
        <v>26886.11</v>
      </c>
      <c r="K65" s="68">
        <f t="shared" si="24"/>
        <v>1.1767194669551775</v>
      </c>
      <c r="L65" s="68">
        <f t="shared" si="25"/>
        <v>0.43090858095329682</v>
      </c>
    </row>
    <row r="66" spans="2:12" x14ac:dyDescent="0.4">
      <c r="B66" s="9"/>
      <c r="C66" s="19"/>
      <c r="D66" s="9">
        <v>322</v>
      </c>
      <c r="E66" s="9"/>
      <c r="F66" s="25" t="s">
        <v>74</v>
      </c>
      <c r="G66" s="53">
        <f>SUM(G67:G71)</f>
        <v>721715.56999999983</v>
      </c>
      <c r="H66" s="53">
        <f t="shared" ref="H66:J66" si="32">SUM(H67:H71)</f>
        <v>705286</v>
      </c>
      <c r="I66" s="53">
        <f t="shared" si="32"/>
        <v>651045</v>
      </c>
      <c r="J66" s="53">
        <f t="shared" si="32"/>
        <v>629524.89999999991</v>
      </c>
      <c r="K66" s="68">
        <f t="shared" si="24"/>
        <v>0.87226176927290078</v>
      </c>
      <c r="L66" s="68">
        <f t="shared" si="25"/>
        <v>0.96694529564008613</v>
      </c>
    </row>
    <row r="67" spans="2:12" x14ac:dyDescent="0.4">
      <c r="B67" s="9"/>
      <c r="C67" s="19"/>
      <c r="D67" s="9"/>
      <c r="E67" s="9" t="s">
        <v>75</v>
      </c>
      <c r="F67" s="25" t="s">
        <v>76</v>
      </c>
      <c r="G67" s="53">
        <v>21703.33</v>
      </c>
      <c r="H67" s="53">
        <v>35947</v>
      </c>
      <c r="I67" s="53">
        <v>35947</v>
      </c>
      <c r="J67" s="60">
        <v>36908.949999999997</v>
      </c>
      <c r="K67" s="68">
        <f t="shared" si="24"/>
        <v>1.7006123023517588</v>
      </c>
      <c r="L67" s="68">
        <f t="shared" si="25"/>
        <v>1.0267602303391103</v>
      </c>
    </row>
    <row r="68" spans="2:12" x14ac:dyDescent="0.4">
      <c r="B68" s="9"/>
      <c r="C68" s="19"/>
      <c r="D68" s="9"/>
      <c r="E68" s="9" t="s">
        <v>77</v>
      </c>
      <c r="F68" s="25" t="s">
        <v>78</v>
      </c>
      <c r="G68" s="53">
        <v>672615.33</v>
      </c>
      <c r="H68" s="53">
        <v>614413</v>
      </c>
      <c r="I68" s="53">
        <v>580172</v>
      </c>
      <c r="J68" s="60">
        <v>561435.06000000006</v>
      </c>
      <c r="K68" s="68">
        <f t="shared" si="24"/>
        <v>0.83470452569078391</v>
      </c>
      <c r="L68" s="68">
        <f t="shared" si="25"/>
        <v>0.96770450831822297</v>
      </c>
    </row>
    <row r="69" spans="2:12" x14ac:dyDescent="0.4">
      <c r="B69" s="9"/>
      <c r="C69" s="19"/>
      <c r="D69" s="9"/>
      <c r="E69" s="9" t="s">
        <v>79</v>
      </c>
      <c r="F69" s="25" t="s">
        <v>80</v>
      </c>
      <c r="G69" s="53">
        <v>19784.72</v>
      </c>
      <c r="H69" s="53">
        <v>47935</v>
      </c>
      <c r="I69" s="53">
        <v>27935</v>
      </c>
      <c r="J69" s="60">
        <v>27402.94</v>
      </c>
      <c r="K69" s="68">
        <f t="shared" si="24"/>
        <v>1.3850557399852006</v>
      </c>
      <c r="L69" s="68">
        <f t="shared" si="25"/>
        <v>0.98095364238410587</v>
      </c>
    </row>
    <row r="70" spans="2:12" x14ac:dyDescent="0.4">
      <c r="B70" s="9"/>
      <c r="C70" s="19"/>
      <c r="D70" s="9"/>
      <c r="E70" s="9" t="s">
        <v>81</v>
      </c>
      <c r="F70" s="25" t="s">
        <v>82</v>
      </c>
      <c r="G70" s="53">
        <v>3670.32</v>
      </c>
      <c r="H70" s="53">
        <v>1991</v>
      </c>
      <c r="I70" s="53">
        <v>1991</v>
      </c>
      <c r="J70" s="60">
        <v>1677.95</v>
      </c>
      <c r="K70" s="68">
        <f t="shared" si="24"/>
        <v>0.45716722247651431</v>
      </c>
      <c r="L70" s="68">
        <f t="shared" si="25"/>
        <v>0.84276745354093419</v>
      </c>
    </row>
    <row r="71" spans="2:12" x14ac:dyDescent="0.4">
      <c r="B71" s="9"/>
      <c r="C71" s="19"/>
      <c r="D71" s="9"/>
      <c r="E71" s="9">
        <v>3227</v>
      </c>
      <c r="F71" s="25" t="s">
        <v>262</v>
      </c>
      <c r="G71" s="53">
        <v>3941.87</v>
      </c>
      <c r="H71" s="53">
        <v>5000</v>
      </c>
      <c r="I71" s="53">
        <v>5000</v>
      </c>
      <c r="J71" s="60">
        <v>2100</v>
      </c>
      <c r="K71" s="68">
        <f t="shared" si="24"/>
        <v>0.53274207419321284</v>
      </c>
      <c r="L71" s="68">
        <f t="shared" si="25"/>
        <v>0.42</v>
      </c>
    </row>
    <row r="72" spans="2:12" x14ac:dyDescent="0.4">
      <c r="B72" s="9"/>
      <c r="C72" s="19"/>
      <c r="D72" s="9">
        <v>323</v>
      </c>
      <c r="E72" s="9"/>
      <c r="F72" s="25" t="s">
        <v>83</v>
      </c>
      <c r="G72" s="53">
        <f>SUM(G73:G81)</f>
        <v>1468131.0299999998</v>
      </c>
      <c r="H72" s="53">
        <f t="shared" ref="H72:J72" si="33">SUM(H73:H81)</f>
        <v>1956627</v>
      </c>
      <c r="I72" s="53">
        <f t="shared" si="33"/>
        <v>1746272</v>
      </c>
      <c r="J72" s="53">
        <f t="shared" si="33"/>
        <v>1242158.17</v>
      </c>
      <c r="K72" s="68">
        <f t="shared" si="24"/>
        <v>0.84608127245972053</v>
      </c>
      <c r="L72" s="68">
        <f t="shared" si="25"/>
        <v>0.71131998337028823</v>
      </c>
    </row>
    <row r="73" spans="2:12" x14ac:dyDescent="0.4">
      <c r="B73" s="9"/>
      <c r="C73" s="19"/>
      <c r="D73" s="9"/>
      <c r="E73" s="9" t="s">
        <v>84</v>
      </c>
      <c r="F73" s="25" t="s">
        <v>85</v>
      </c>
      <c r="G73" s="53">
        <v>33775.22</v>
      </c>
      <c r="H73" s="53">
        <v>43135</v>
      </c>
      <c r="I73" s="53">
        <v>35135</v>
      </c>
      <c r="J73" s="60">
        <v>30149.72</v>
      </c>
      <c r="K73" s="68">
        <f t="shared" si="24"/>
        <v>0.89265799008859159</v>
      </c>
      <c r="L73" s="68">
        <f t="shared" si="25"/>
        <v>0.85811071581044551</v>
      </c>
    </row>
    <row r="74" spans="2:12" x14ac:dyDescent="0.4">
      <c r="B74" s="9"/>
      <c r="C74" s="19"/>
      <c r="D74" s="9"/>
      <c r="E74" s="9" t="s">
        <v>86</v>
      </c>
      <c r="F74" s="25" t="s">
        <v>87</v>
      </c>
      <c r="G74" s="53">
        <v>271721.46999999997</v>
      </c>
      <c r="H74" s="53">
        <v>337205</v>
      </c>
      <c r="I74" s="53">
        <v>217205</v>
      </c>
      <c r="J74" s="60">
        <v>193205.3</v>
      </c>
      <c r="K74" s="68">
        <f t="shared" si="24"/>
        <v>0.71104171488546708</v>
      </c>
      <c r="L74" s="68">
        <f t="shared" si="25"/>
        <v>0.88950668723095683</v>
      </c>
    </row>
    <row r="75" spans="2:12" x14ac:dyDescent="0.4">
      <c r="B75" s="9"/>
      <c r="C75" s="19"/>
      <c r="D75" s="9"/>
      <c r="E75" s="9" t="s">
        <v>88</v>
      </c>
      <c r="F75" s="25" t="s">
        <v>89</v>
      </c>
      <c r="G75" s="53">
        <v>28869.35</v>
      </c>
      <c r="H75" s="53">
        <v>36998</v>
      </c>
      <c r="I75" s="53">
        <v>36998</v>
      </c>
      <c r="J75" s="60">
        <v>26582.07</v>
      </c>
      <c r="K75" s="68">
        <f t="shared" si="24"/>
        <v>0.92077133707547976</v>
      </c>
      <c r="L75" s="68">
        <f t="shared" si="25"/>
        <v>0.71847316071138978</v>
      </c>
    </row>
    <row r="76" spans="2:12" x14ac:dyDescent="0.4">
      <c r="B76" s="9"/>
      <c r="C76" s="19"/>
      <c r="D76" s="9"/>
      <c r="E76" s="9" t="s">
        <v>90</v>
      </c>
      <c r="F76" s="25" t="s">
        <v>91</v>
      </c>
      <c r="G76" s="53">
        <v>52538.14</v>
      </c>
      <c r="H76" s="53">
        <v>57543</v>
      </c>
      <c r="I76" s="53">
        <v>55043</v>
      </c>
      <c r="J76" s="60">
        <v>52223</v>
      </c>
      <c r="K76" s="68">
        <f t="shared" si="24"/>
        <v>0.9940016909620325</v>
      </c>
      <c r="L76" s="68">
        <f t="shared" si="25"/>
        <v>0.94876732736224412</v>
      </c>
    </row>
    <row r="77" spans="2:12" x14ac:dyDescent="0.4">
      <c r="B77" s="9"/>
      <c r="C77" s="19"/>
      <c r="D77" s="9"/>
      <c r="E77" s="9" t="s">
        <v>92</v>
      </c>
      <c r="F77" s="25" t="s">
        <v>93</v>
      </c>
      <c r="G77" s="53">
        <v>399253.91</v>
      </c>
      <c r="H77" s="53">
        <v>538686</v>
      </c>
      <c r="I77" s="53">
        <v>498686</v>
      </c>
      <c r="J77" s="60">
        <v>437530.35</v>
      </c>
      <c r="K77" s="68">
        <f t="shared" si="24"/>
        <v>1.0958699189696102</v>
      </c>
      <c r="L77" s="68">
        <f t="shared" si="25"/>
        <v>0.87736641894899792</v>
      </c>
    </row>
    <row r="78" spans="2:12" x14ac:dyDescent="0.4">
      <c r="B78" s="9"/>
      <c r="C78" s="19"/>
      <c r="D78" s="9"/>
      <c r="E78" s="9" t="s">
        <v>94</v>
      </c>
      <c r="F78" s="25" t="s">
        <v>95</v>
      </c>
      <c r="G78" s="53">
        <v>23754.43</v>
      </c>
      <c r="H78" s="53">
        <v>29200</v>
      </c>
      <c r="I78" s="53">
        <v>25894</v>
      </c>
      <c r="J78" s="60">
        <v>20301</v>
      </c>
      <c r="K78" s="68">
        <f t="shared" si="24"/>
        <v>0.85461953833453375</v>
      </c>
      <c r="L78" s="68">
        <f t="shared" si="25"/>
        <v>0.78400401637444972</v>
      </c>
    </row>
    <row r="79" spans="2:12" x14ac:dyDescent="0.4">
      <c r="B79" s="9"/>
      <c r="C79" s="19"/>
      <c r="D79" s="9"/>
      <c r="E79" s="9" t="s">
        <v>96</v>
      </c>
      <c r="F79" s="25" t="s">
        <v>97</v>
      </c>
      <c r="G79" s="53">
        <v>429602.54</v>
      </c>
      <c r="H79" s="53">
        <v>649550</v>
      </c>
      <c r="I79" s="53">
        <v>644001</v>
      </c>
      <c r="J79" s="60">
        <v>248222.77</v>
      </c>
      <c r="K79" s="68">
        <f t="shared" si="24"/>
        <v>0.57779632774052037</v>
      </c>
      <c r="L79" s="68">
        <f t="shared" si="25"/>
        <v>0.38543848534396685</v>
      </c>
    </row>
    <row r="80" spans="2:12" x14ac:dyDescent="0.4">
      <c r="B80" s="9"/>
      <c r="C80" s="19"/>
      <c r="D80" s="9"/>
      <c r="E80" s="9" t="s">
        <v>98</v>
      </c>
      <c r="F80" s="25" t="s">
        <v>99</v>
      </c>
      <c r="G80" s="53">
        <v>8348.39</v>
      </c>
      <c r="H80" s="53">
        <v>36092</v>
      </c>
      <c r="I80" s="53">
        <v>25092</v>
      </c>
      <c r="J80" s="60">
        <v>22471.26</v>
      </c>
      <c r="K80" s="68">
        <f t="shared" si="24"/>
        <v>2.6916878583774837</v>
      </c>
      <c r="L80" s="68">
        <f t="shared" si="25"/>
        <v>0.89555475848876132</v>
      </c>
    </row>
    <row r="81" spans="2:12" x14ac:dyDescent="0.4">
      <c r="B81" s="9"/>
      <c r="C81" s="19"/>
      <c r="D81" s="9"/>
      <c r="E81" s="9" t="s">
        <v>100</v>
      </c>
      <c r="F81" s="25" t="s">
        <v>101</v>
      </c>
      <c r="G81" s="53">
        <v>220267.58</v>
      </c>
      <c r="H81" s="53">
        <v>228218</v>
      </c>
      <c r="I81" s="53">
        <v>208218</v>
      </c>
      <c r="J81" s="60">
        <v>211472.7</v>
      </c>
      <c r="K81" s="68">
        <f t="shared" si="24"/>
        <v>0.96007183626387516</v>
      </c>
      <c r="L81" s="68">
        <f t="shared" si="25"/>
        <v>1.0156312134397603</v>
      </c>
    </row>
    <row r="82" spans="2:12" x14ac:dyDescent="0.4">
      <c r="B82" s="9"/>
      <c r="C82" s="19"/>
      <c r="D82" s="9">
        <v>324</v>
      </c>
      <c r="E82" s="9"/>
      <c r="F82" s="25" t="s">
        <v>102</v>
      </c>
      <c r="G82" s="53">
        <f>G83</f>
        <v>160.12</v>
      </c>
      <c r="H82" s="53">
        <f t="shared" ref="H82:J82" si="34">H83</f>
        <v>2654</v>
      </c>
      <c r="I82" s="53">
        <f t="shared" si="34"/>
        <v>2654</v>
      </c>
      <c r="J82" s="53">
        <f t="shared" si="34"/>
        <v>538.11</v>
      </c>
      <c r="K82" s="68">
        <v>0</v>
      </c>
      <c r="L82" s="68">
        <f t="shared" si="25"/>
        <v>0.20275433308214016</v>
      </c>
    </row>
    <row r="83" spans="2:12" x14ac:dyDescent="0.4">
      <c r="B83" s="9"/>
      <c r="C83" s="19"/>
      <c r="D83" s="9"/>
      <c r="E83" s="9">
        <v>3241</v>
      </c>
      <c r="F83" s="25" t="s">
        <v>102</v>
      </c>
      <c r="G83" s="53">
        <v>160.12</v>
      </c>
      <c r="H83" s="53">
        <v>2654</v>
      </c>
      <c r="I83" s="53">
        <v>2654</v>
      </c>
      <c r="J83" s="60">
        <v>538.11</v>
      </c>
      <c r="K83" s="68">
        <v>0</v>
      </c>
      <c r="L83" s="68">
        <f t="shared" si="25"/>
        <v>0.20275433308214016</v>
      </c>
    </row>
    <row r="84" spans="2:12" x14ac:dyDescent="0.4">
      <c r="B84" s="9"/>
      <c r="C84" s="19"/>
      <c r="D84" s="9">
        <v>329</v>
      </c>
      <c r="E84" s="9"/>
      <c r="F84" s="25" t="s">
        <v>109</v>
      </c>
      <c r="G84" s="53">
        <f>SUM(G85:G91)</f>
        <v>109821.78000000001</v>
      </c>
      <c r="H84" s="53">
        <f t="shared" ref="H84:J84" si="35">SUM(H85:H91)</f>
        <v>132248</v>
      </c>
      <c r="I84" s="53">
        <f t="shared" si="35"/>
        <v>131090</v>
      </c>
      <c r="J84" s="53">
        <f t="shared" si="35"/>
        <v>119162.14</v>
      </c>
      <c r="K84" s="68">
        <f t="shared" si="24"/>
        <v>1.0850501603598119</v>
      </c>
      <c r="L84" s="68">
        <f t="shared" si="25"/>
        <v>0.90901014570142646</v>
      </c>
    </row>
    <row r="85" spans="2:12" ht="24.9" x14ac:dyDescent="0.4">
      <c r="B85" s="9"/>
      <c r="C85" s="19"/>
      <c r="D85" s="9"/>
      <c r="E85" s="9" t="s">
        <v>110</v>
      </c>
      <c r="F85" s="25" t="s">
        <v>103</v>
      </c>
      <c r="G85" s="53">
        <v>4159.32</v>
      </c>
      <c r="H85" s="53">
        <v>6636</v>
      </c>
      <c r="I85" s="53">
        <v>5478</v>
      </c>
      <c r="J85" s="60">
        <v>5478</v>
      </c>
      <c r="K85" s="68">
        <f t="shared" si="24"/>
        <v>1.3170422088225961</v>
      </c>
      <c r="L85" s="68">
        <f t="shared" si="25"/>
        <v>1</v>
      </c>
    </row>
    <row r="86" spans="2:12" x14ac:dyDescent="0.4">
      <c r="B86" s="9"/>
      <c r="C86" s="19"/>
      <c r="D86" s="9"/>
      <c r="E86" s="9" t="s">
        <v>111</v>
      </c>
      <c r="F86" s="25" t="s">
        <v>104</v>
      </c>
      <c r="G86" s="53">
        <v>1203.77</v>
      </c>
      <c r="H86" s="53">
        <v>2919</v>
      </c>
      <c r="I86" s="53">
        <v>2919</v>
      </c>
      <c r="J86" s="60">
        <v>1960.18</v>
      </c>
      <c r="K86" s="68">
        <v>0</v>
      </c>
      <c r="L86" s="68">
        <f t="shared" si="25"/>
        <v>0.67152449468996234</v>
      </c>
    </row>
    <row r="87" spans="2:12" x14ac:dyDescent="0.4">
      <c r="B87" s="9"/>
      <c r="C87" s="19"/>
      <c r="D87" s="9"/>
      <c r="E87" s="9" t="s">
        <v>112</v>
      </c>
      <c r="F87" s="25" t="s">
        <v>105</v>
      </c>
      <c r="G87" s="53">
        <v>42987.76</v>
      </c>
      <c r="H87" s="53">
        <v>61288</v>
      </c>
      <c r="I87" s="53">
        <v>61288</v>
      </c>
      <c r="J87" s="60">
        <v>53766.65</v>
      </c>
      <c r="K87" s="68">
        <f t="shared" si="24"/>
        <v>1.2507432348184693</v>
      </c>
      <c r="L87" s="68">
        <f t="shared" si="25"/>
        <v>0.87727858634642997</v>
      </c>
    </row>
    <row r="88" spans="2:12" x14ac:dyDescent="0.4">
      <c r="B88" s="9"/>
      <c r="C88" s="19"/>
      <c r="D88" s="9"/>
      <c r="E88" s="9" t="s">
        <v>113</v>
      </c>
      <c r="F88" s="25" t="s">
        <v>106</v>
      </c>
      <c r="G88" s="53">
        <v>44191.07</v>
      </c>
      <c r="H88" s="53">
        <v>46453</v>
      </c>
      <c r="I88" s="53">
        <v>46453</v>
      </c>
      <c r="J88" s="60">
        <v>45534.97</v>
      </c>
      <c r="K88" s="68">
        <f t="shared" si="24"/>
        <v>1.0304111215229683</v>
      </c>
      <c r="L88" s="68">
        <f t="shared" si="25"/>
        <v>0.98023744429853832</v>
      </c>
    </row>
    <row r="89" spans="2:12" x14ac:dyDescent="0.4">
      <c r="B89" s="9"/>
      <c r="C89" s="19"/>
      <c r="D89" s="9"/>
      <c r="E89" s="9" t="s">
        <v>114</v>
      </c>
      <c r="F89" s="25" t="s">
        <v>107</v>
      </c>
      <c r="G89" s="53">
        <v>10352.719999999999</v>
      </c>
      <c r="H89" s="53">
        <v>9689</v>
      </c>
      <c r="I89" s="53">
        <v>9689</v>
      </c>
      <c r="J89" s="60">
        <v>8527.86</v>
      </c>
      <c r="K89" s="68">
        <f t="shared" si="24"/>
        <v>0.82373134789697788</v>
      </c>
      <c r="L89" s="68">
        <f t="shared" si="25"/>
        <v>0.88015894313138621</v>
      </c>
    </row>
    <row r="90" spans="2:12" x14ac:dyDescent="0.4">
      <c r="B90" s="9"/>
      <c r="C90" s="19"/>
      <c r="D90" s="9"/>
      <c r="E90" s="9" t="s">
        <v>115</v>
      </c>
      <c r="F90" s="25" t="s">
        <v>108</v>
      </c>
      <c r="G90" s="53">
        <v>4873.2700000000004</v>
      </c>
      <c r="H90" s="53">
        <v>800</v>
      </c>
      <c r="I90" s="53">
        <v>800</v>
      </c>
      <c r="J90" s="60">
        <v>355.29</v>
      </c>
      <c r="K90" s="68">
        <f t="shared" si="24"/>
        <v>7.2905872237737701E-2</v>
      </c>
      <c r="L90" s="68">
        <v>0</v>
      </c>
    </row>
    <row r="91" spans="2:12" x14ac:dyDescent="0.4">
      <c r="B91" s="9"/>
      <c r="C91" s="19"/>
      <c r="D91" s="10"/>
      <c r="E91" s="9" t="s">
        <v>116</v>
      </c>
      <c r="F91" s="25" t="s">
        <v>109</v>
      </c>
      <c r="G91" s="53">
        <v>2053.87</v>
      </c>
      <c r="H91" s="53">
        <v>4463</v>
      </c>
      <c r="I91" s="53">
        <v>4463</v>
      </c>
      <c r="J91" s="60">
        <v>3539.19</v>
      </c>
      <c r="K91" s="68">
        <f t="shared" si="24"/>
        <v>1.7231811166237396</v>
      </c>
      <c r="L91" s="68">
        <f t="shared" si="25"/>
        <v>0.79300694600044819</v>
      </c>
    </row>
    <row r="92" spans="2:12" x14ac:dyDescent="0.4">
      <c r="B92" s="9"/>
      <c r="C92" s="9">
        <v>34</v>
      </c>
      <c r="D92" s="10"/>
      <c r="E92" s="10"/>
      <c r="F92" s="25" t="s">
        <v>117</v>
      </c>
      <c r="G92" s="53">
        <f>G93</f>
        <v>9518.57</v>
      </c>
      <c r="H92" s="53">
        <f t="shared" ref="H92:J92" si="36">H93</f>
        <v>4723</v>
      </c>
      <c r="I92" s="53">
        <f t="shared" si="36"/>
        <v>4723</v>
      </c>
      <c r="J92" s="53">
        <f t="shared" si="36"/>
        <v>2446.67</v>
      </c>
      <c r="K92" s="68">
        <f t="shared" si="24"/>
        <v>0.25704176152510305</v>
      </c>
      <c r="L92" s="68">
        <f t="shared" si="25"/>
        <v>0.51803302985390642</v>
      </c>
    </row>
    <row r="93" spans="2:12" x14ac:dyDescent="0.4">
      <c r="B93" s="9"/>
      <c r="C93" s="19"/>
      <c r="D93" s="9">
        <v>343</v>
      </c>
      <c r="E93" s="10"/>
      <c r="F93" s="25" t="s">
        <v>118</v>
      </c>
      <c r="G93" s="53">
        <f>SUM(G94:G96)</f>
        <v>9518.57</v>
      </c>
      <c r="H93" s="53">
        <f t="shared" ref="H93:J93" si="37">SUM(H94:H96)</f>
        <v>4723</v>
      </c>
      <c r="I93" s="53">
        <f t="shared" si="37"/>
        <v>4723</v>
      </c>
      <c r="J93" s="53">
        <f t="shared" si="37"/>
        <v>2446.67</v>
      </c>
      <c r="K93" s="68">
        <f t="shared" si="24"/>
        <v>0.25704176152510305</v>
      </c>
      <c r="L93" s="68">
        <f t="shared" si="25"/>
        <v>0.51803302985390642</v>
      </c>
    </row>
    <row r="94" spans="2:12" x14ac:dyDescent="0.4">
      <c r="B94" s="9"/>
      <c r="C94" s="19"/>
      <c r="D94" s="10"/>
      <c r="E94" s="9">
        <v>3431</v>
      </c>
      <c r="F94" s="25" t="s">
        <v>119</v>
      </c>
      <c r="G94" s="53">
        <v>4224.12</v>
      </c>
      <c r="H94" s="53">
        <v>3223</v>
      </c>
      <c r="I94" s="53">
        <v>3223</v>
      </c>
      <c r="J94" s="60">
        <v>2446.67</v>
      </c>
      <c r="K94" s="68">
        <f t="shared" si="24"/>
        <v>0.57921413217427542</v>
      </c>
      <c r="L94" s="68">
        <f t="shared" si="25"/>
        <v>0.75912814148309027</v>
      </c>
    </row>
    <row r="95" spans="2:12" x14ac:dyDescent="0.4">
      <c r="B95" s="9"/>
      <c r="C95" s="19"/>
      <c r="D95" s="10"/>
      <c r="E95" s="9">
        <v>3432</v>
      </c>
      <c r="F95" s="25" t="s">
        <v>158</v>
      </c>
      <c r="G95" s="53">
        <v>124.84</v>
      </c>
      <c r="H95" s="53">
        <v>0</v>
      </c>
      <c r="I95" s="53">
        <v>0</v>
      </c>
      <c r="J95" s="60">
        <v>0</v>
      </c>
      <c r="K95" s="68">
        <f t="shared" si="24"/>
        <v>0</v>
      </c>
      <c r="L95" s="68">
        <v>0</v>
      </c>
    </row>
    <row r="96" spans="2:12" x14ac:dyDescent="0.4">
      <c r="B96" s="9"/>
      <c r="C96" s="19"/>
      <c r="D96" s="10"/>
      <c r="E96" s="9">
        <v>3433</v>
      </c>
      <c r="F96" s="25" t="s">
        <v>120</v>
      </c>
      <c r="G96" s="53">
        <v>5169.6099999999997</v>
      </c>
      <c r="H96" s="53">
        <v>1500</v>
      </c>
      <c r="I96" s="53">
        <v>1500</v>
      </c>
      <c r="J96" s="60">
        <v>0</v>
      </c>
      <c r="K96" s="68">
        <f t="shared" si="24"/>
        <v>0</v>
      </c>
      <c r="L96" s="68">
        <v>0</v>
      </c>
    </row>
    <row r="97" spans="2:16" x14ac:dyDescent="0.4">
      <c r="B97" s="9"/>
      <c r="C97" s="9">
        <v>36</v>
      </c>
      <c r="D97" s="10"/>
      <c r="E97" s="10"/>
      <c r="F97" s="25" t="s">
        <v>121</v>
      </c>
      <c r="G97" s="53">
        <f>G98</f>
        <v>145677.26999999999</v>
      </c>
      <c r="H97" s="53">
        <f t="shared" ref="H97:J97" si="38">H98</f>
        <v>308560</v>
      </c>
      <c r="I97" s="53">
        <f t="shared" si="38"/>
        <v>308560</v>
      </c>
      <c r="J97" s="53">
        <f t="shared" si="38"/>
        <v>182765.87</v>
      </c>
      <c r="K97" s="68">
        <f t="shared" si="24"/>
        <v>1.2545942822789033</v>
      </c>
      <c r="L97" s="68">
        <f t="shared" si="25"/>
        <v>0.59231873865698725</v>
      </c>
    </row>
    <row r="98" spans="2:16" x14ac:dyDescent="0.4">
      <c r="B98" s="9"/>
      <c r="C98" s="19"/>
      <c r="D98" s="9">
        <v>369</v>
      </c>
      <c r="E98" s="10"/>
      <c r="F98" s="49" t="s">
        <v>122</v>
      </c>
      <c r="G98" s="53">
        <f>SUM(G99:G100)</f>
        <v>145677.26999999999</v>
      </c>
      <c r="H98" s="53">
        <f t="shared" ref="H98:J98" si="39">SUM(H99:H100)</f>
        <v>308560</v>
      </c>
      <c r="I98" s="53">
        <f t="shared" si="39"/>
        <v>308560</v>
      </c>
      <c r="J98" s="53">
        <f t="shared" si="39"/>
        <v>182765.87</v>
      </c>
      <c r="K98" s="68">
        <f t="shared" si="24"/>
        <v>1.2545942822789033</v>
      </c>
      <c r="L98" s="68">
        <f t="shared" si="25"/>
        <v>0.59231873865698725</v>
      </c>
    </row>
    <row r="99" spans="2:16" ht="24.9" x14ac:dyDescent="0.4">
      <c r="B99" s="9"/>
      <c r="C99" s="19"/>
      <c r="D99" s="10"/>
      <c r="E99" s="9">
        <v>3691</v>
      </c>
      <c r="F99" s="25" t="s">
        <v>139</v>
      </c>
      <c r="G99" s="53">
        <v>110086.15</v>
      </c>
      <c r="H99" s="53">
        <v>0</v>
      </c>
      <c r="I99" s="53">
        <v>0</v>
      </c>
      <c r="J99" s="60">
        <v>0</v>
      </c>
      <c r="K99" s="68">
        <f>J99/G99</f>
        <v>0</v>
      </c>
      <c r="L99" s="68">
        <v>0</v>
      </c>
    </row>
    <row r="100" spans="2:16" ht="24.9" x14ac:dyDescent="0.4">
      <c r="B100" s="9"/>
      <c r="C100" s="19"/>
      <c r="D100" s="10"/>
      <c r="E100" s="9">
        <v>3693</v>
      </c>
      <c r="F100" s="25" t="s">
        <v>123</v>
      </c>
      <c r="G100" s="53">
        <v>35591.120000000003</v>
      </c>
      <c r="H100" s="53">
        <v>308560</v>
      </c>
      <c r="I100" s="53">
        <v>308560</v>
      </c>
      <c r="J100" s="60">
        <v>182765.87</v>
      </c>
      <c r="K100" s="68">
        <f t="shared" si="24"/>
        <v>5.1351536563052802</v>
      </c>
      <c r="L100" s="68">
        <f t="shared" si="25"/>
        <v>0.59231873865698725</v>
      </c>
    </row>
    <row r="101" spans="2:16" ht="24.9" x14ac:dyDescent="0.4">
      <c r="B101" s="9"/>
      <c r="C101" s="9">
        <v>37</v>
      </c>
      <c r="D101" s="10"/>
      <c r="E101" s="9"/>
      <c r="F101" s="25" t="s">
        <v>124</v>
      </c>
      <c r="G101" s="53">
        <f>G102</f>
        <v>8341.6200000000008</v>
      </c>
      <c r="H101" s="53">
        <f t="shared" ref="H101:J102" si="40">H102</f>
        <v>20222</v>
      </c>
      <c r="I101" s="53">
        <f t="shared" si="40"/>
        <v>9514</v>
      </c>
      <c r="J101" s="53">
        <f t="shared" si="40"/>
        <v>6195.44</v>
      </c>
      <c r="K101" s="68">
        <f t="shared" si="24"/>
        <v>0.74271424495481686</v>
      </c>
      <c r="L101" s="68">
        <f t="shared" si="25"/>
        <v>0.65119192768551604</v>
      </c>
    </row>
    <row r="102" spans="2:16" x14ac:dyDescent="0.4">
      <c r="B102" s="9"/>
      <c r="C102" s="19"/>
      <c r="D102" s="9">
        <v>372</v>
      </c>
      <c r="E102" s="9"/>
      <c r="F102" s="25" t="s">
        <v>125</v>
      </c>
      <c r="G102" s="53">
        <f>G103</f>
        <v>8341.6200000000008</v>
      </c>
      <c r="H102" s="53">
        <f t="shared" si="40"/>
        <v>20222</v>
      </c>
      <c r="I102" s="53">
        <f t="shared" si="40"/>
        <v>9514</v>
      </c>
      <c r="J102" s="53">
        <f t="shared" si="40"/>
        <v>6195.44</v>
      </c>
      <c r="K102" s="68">
        <f t="shared" si="24"/>
        <v>0.74271424495481686</v>
      </c>
      <c r="L102" s="68">
        <f t="shared" si="25"/>
        <v>0.65119192768551604</v>
      </c>
    </row>
    <row r="103" spans="2:16" x14ac:dyDescent="0.4">
      <c r="B103" s="9"/>
      <c r="C103" s="19"/>
      <c r="D103" s="10"/>
      <c r="E103" s="9">
        <v>3721</v>
      </c>
      <c r="F103" s="25" t="s">
        <v>126</v>
      </c>
      <c r="G103" s="53">
        <v>8341.6200000000008</v>
      </c>
      <c r="H103" s="53">
        <v>20222</v>
      </c>
      <c r="I103" s="53">
        <v>9514</v>
      </c>
      <c r="J103" s="60">
        <v>6195.44</v>
      </c>
      <c r="K103" s="68">
        <f t="shared" si="24"/>
        <v>0.74271424495481686</v>
      </c>
      <c r="L103" s="68">
        <f t="shared" si="25"/>
        <v>0.65119192768551604</v>
      </c>
    </row>
    <row r="104" spans="2:16" s="51" customFormat="1" x14ac:dyDescent="0.4">
      <c r="B104" s="11">
        <v>4</v>
      </c>
      <c r="C104" s="12"/>
      <c r="D104" s="12"/>
      <c r="E104" s="12"/>
      <c r="F104" s="17" t="s">
        <v>6</v>
      </c>
      <c r="G104" s="56">
        <f>G105+G109+G116</f>
        <v>14413179.319999998</v>
      </c>
      <c r="H104" s="56">
        <f>H105+H109+H116</f>
        <v>2161717</v>
      </c>
      <c r="I104" s="56">
        <f t="shared" ref="I104:J104" si="41">I105+I109+I116</f>
        <v>2113605</v>
      </c>
      <c r="J104" s="64">
        <f t="shared" si="41"/>
        <v>2125840.39</v>
      </c>
      <c r="K104" s="76">
        <f t="shared" si="24"/>
        <v>0.14749281493016214</v>
      </c>
      <c r="L104" s="76">
        <f t="shared" si="25"/>
        <v>1.0057888725660662</v>
      </c>
      <c r="P104" s="139"/>
    </row>
    <row r="105" spans="2:16" x14ac:dyDescent="0.4">
      <c r="B105" s="13"/>
      <c r="C105" s="13">
        <v>41</v>
      </c>
      <c r="D105" s="13"/>
      <c r="E105" s="13"/>
      <c r="F105" s="18" t="s">
        <v>7</v>
      </c>
      <c r="G105" s="53">
        <f>G106</f>
        <v>864609.37</v>
      </c>
      <c r="H105" s="53">
        <f t="shared" ref="H105:J105" si="42">H106</f>
        <v>142855</v>
      </c>
      <c r="I105" s="53">
        <f t="shared" si="42"/>
        <v>109583</v>
      </c>
      <c r="J105" s="53">
        <f t="shared" si="42"/>
        <v>104038.35</v>
      </c>
      <c r="K105" s="68">
        <f t="shared" si="24"/>
        <v>0.12032988955463206</v>
      </c>
      <c r="L105" s="68">
        <f t="shared" si="25"/>
        <v>0.94940227955066026</v>
      </c>
    </row>
    <row r="106" spans="2:16" x14ac:dyDescent="0.4">
      <c r="B106" s="13"/>
      <c r="C106" s="13"/>
      <c r="D106" s="9">
        <v>412</v>
      </c>
      <c r="E106" s="9"/>
      <c r="F106" s="9" t="s">
        <v>127</v>
      </c>
      <c r="G106" s="53">
        <f>SUM(G107:G108)</f>
        <v>864609.37</v>
      </c>
      <c r="H106" s="53">
        <f t="shared" ref="H106:J106" si="43">SUM(H107:H108)</f>
        <v>142855</v>
      </c>
      <c r="I106" s="53">
        <f t="shared" si="43"/>
        <v>109583</v>
      </c>
      <c r="J106" s="53">
        <f t="shared" si="43"/>
        <v>104038.35</v>
      </c>
      <c r="K106" s="68">
        <f t="shared" si="24"/>
        <v>0.12032988955463206</v>
      </c>
      <c r="L106" s="68">
        <f t="shared" si="25"/>
        <v>0.94940227955066026</v>
      </c>
    </row>
    <row r="107" spans="2:16" x14ac:dyDescent="0.4">
      <c r="B107" s="13"/>
      <c r="C107" s="13"/>
      <c r="D107" s="9"/>
      <c r="E107" s="9">
        <v>4123</v>
      </c>
      <c r="F107" s="9" t="s">
        <v>128</v>
      </c>
      <c r="G107" s="53">
        <v>252.08</v>
      </c>
      <c r="H107" s="53">
        <v>142855</v>
      </c>
      <c r="I107" s="53">
        <v>109583</v>
      </c>
      <c r="J107" s="60">
        <f>104038.35-3632.56+3632.56</f>
        <v>104038.35</v>
      </c>
      <c r="K107" s="68">
        <f t="shared" si="24"/>
        <v>412.71957315138053</v>
      </c>
      <c r="L107" s="68">
        <f t="shared" si="25"/>
        <v>0.94940227955066026</v>
      </c>
    </row>
    <row r="108" spans="2:16" x14ac:dyDescent="0.4">
      <c r="B108" s="13"/>
      <c r="C108" s="13"/>
      <c r="D108" s="9"/>
      <c r="E108" s="9">
        <v>4124</v>
      </c>
      <c r="F108" s="9" t="s">
        <v>159</v>
      </c>
      <c r="G108" s="53">
        <v>864357.29</v>
      </c>
      <c r="H108" s="53">
        <v>0</v>
      </c>
      <c r="I108" s="53">
        <v>0</v>
      </c>
      <c r="J108" s="60">
        <v>0</v>
      </c>
      <c r="K108" s="68">
        <f t="shared" si="24"/>
        <v>0</v>
      </c>
      <c r="L108" s="68"/>
    </row>
    <row r="109" spans="2:16" x14ac:dyDescent="0.4">
      <c r="B109" s="61"/>
      <c r="C109" s="13">
        <v>42</v>
      </c>
      <c r="D109" s="61"/>
      <c r="E109" s="61"/>
      <c r="F109" s="9" t="s">
        <v>129</v>
      </c>
      <c r="G109" s="60">
        <f>G110+G114</f>
        <v>12105772.869999999</v>
      </c>
      <c r="H109" s="60">
        <f t="shared" ref="H109:J109" si="44">H110+H114</f>
        <v>1706805</v>
      </c>
      <c r="I109" s="60">
        <f t="shared" si="44"/>
        <v>1706805</v>
      </c>
      <c r="J109" s="60">
        <f t="shared" si="44"/>
        <v>1723909.06</v>
      </c>
      <c r="K109" s="68">
        <f t="shared" si="24"/>
        <v>0.14240388271880738</v>
      </c>
      <c r="L109" s="68">
        <f t="shared" si="25"/>
        <v>1.0100210978992914</v>
      </c>
    </row>
    <row r="110" spans="2:16" x14ac:dyDescent="0.4">
      <c r="B110" s="61"/>
      <c r="C110" s="61"/>
      <c r="D110" s="9">
        <v>422</v>
      </c>
      <c r="E110" s="61"/>
      <c r="F110" s="9" t="s">
        <v>130</v>
      </c>
      <c r="G110" s="60">
        <f>SUM(G111:G113)</f>
        <v>12081151.77</v>
      </c>
      <c r="H110" s="60">
        <f t="shared" ref="H110:J110" si="45">SUM(H111:H113)</f>
        <v>1706805</v>
      </c>
      <c r="I110" s="60">
        <f t="shared" si="45"/>
        <v>1706805</v>
      </c>
      <c r="J110" s="60">
        <f t="shared" si="45"/>
        <v>1723909.06</v>
      </c>
      <c r="K110" s="68">
        <f t="shared" si="24"/>
        <v>0.14269409844521805</v>
      </c>
      <c r="L110" s="68">
        <f t="shared" si="25"/>
        <v>1.0100210978992914</v>
      </c>
    </row>
    <row r="111" spans="2:16" s="52" customFormat="1" ht="15" customHeight="1" x14ac:dyDescent="0.4">
      <c r="B111" s="79"/>
      <c r="C111" s="79"/>
      <c r="D111" s="79"/>
      <c r="E111" s="9">
        <v>4221</v>
      </c>
      <c r="F111" s="9" t="s">
        <v>131</v>
      </c>
      <c r="G111" s="78">
        <v>11176793.029999999</v>
      </c>
      <c r="H111" s="78">
        <v>1685597</v>
      </c>
      <c r="I111" s="78">
        <v>1685597</v>
      </c>
      <c r="J111" s="78">
        <v>1711059.19</v>
      </c>
      <c r="K111" s="80">
        <f t="shared" si="24"/>
        <v>0.15309035296683848</v>
      </c>
      <c r="L111" s="80">
        <f t="shared" si="25"/>
        <v>1.0151057399841124</v>
      </c>
      <c r="P111" s="140"/>
    </row>
    <row r="112" spans="2:16" s="52" customFormat="1" x14ac:dyDescent="0.4">
      <c r="B112" s="79"/>
      <c r="C112" s="79"/>
      <c r="D112" s="79"/>
      <c r="E112" s="9">
        <v>4222</v>
      </c>
      <c r="F112" s="9" t="s">
        <v>132</v>
      </c>
      <c r="G112" s="78">
        <v>903098.27</v>
      </c>
      <c r="H112" s="78">
        <v>20722</v>
      </c>
      <c r="I112" s="78">
        <v>20722</v>
      </c>
      <c r="J112" s="78">
        <v>12364.28</v>
      </c>
      <c r="K112" s="80">
        <f t="shared" si="24"/>
        <v>1.3690957463577026E-2</v>
      </c>
      <c r="L112" s="80">
        <f t="shared" si="25"/>
        <v>0.59667406620982533</v>
      </c>
      <c r="P112" s="140"/>
    </row>
    <row r="113" spans="2:16" s="52" customFormat="1" x14ac:dyDescent="0.4">
      <c r="B113" s="79"/>
      <c r="C113" s="79"/>
      <c r="D113" s="79"/>
      <c r="E113" s="9">
        <v>4227</v>
      </c>
      <c r="F113" s="9" t="s">
        <v>160</v>
      </c>
      <c r="G113" s="78">
        <v>1260.47</v>
      </c>
      <c r="H113" s="78">
        <v>486</v>
      </c>
      <c r="I113" s="78">
        <v>486</v>
      </c>
      <c r="J113" s="78">
        <v>485.59</v>
      </c>
      <c r="K113" s="80">
        <f t="shared" si="24"/>
        <v>0.38524518631938875</v>
      </c>
      <c r="L113" s="80">
        <v>0</v>
      </c>
      <c r="P113" s="140"/>
    </row>
    <row r="114" spans="2:16" x14ac:dyDescent="0.4">
      <c r="B114" s="61"/>
      <c r="C114" s="61"/>
      <c r="D114" s="9">
        <v>423</v>
      </c>
      <c r="E114" s="61"/>
      <c r="F114" s="9" t="s">
        <v>263</v>
      </c>
      <c r="G114" s="60">
        <f>SUM(G115)</f>
        <v>24621.1</v>
      </c>
      <c r="H114" s="60">
        <f t="shared" ref="H114:J114" si="46">SUM(H115)</f>
        <v>0</v>
      </c>
      <c r="I114" s="60">
        <f t="shared" si="46"/>
        <v>0</v>
      </c>
      <c r="J114" s="60">
        <f t="shared" si="46"/>
        <v>0</v>
      </c>
      <c r="K114" s="68">
        <f t="shared" ref="K114:K115" si="47">J114/G114</f>
        <v>0</v>
      </c>
      <c r="L114" s="68">
        <v>0</v>
      </c>
    </row>
    <row r="115" spans="2:16" s="52" customFormat="1" ht="15" customHeight="1" x14ac:dyDescent="0.4">
      <c r="B115" s="79"/>
      <c r="C115" s="79"/>
      <c r="D115" s="79"/>
      <c r="E115" s="9">
        <v>4231</v>
      </c>
      <c r="F115" s="9" t="s">
        <v>264</v>
      </c>
      <c r="G115" s="78">
        <v>24621.1</v>
      </c>
      <c r="H115" s="78">
        <v>0</v>
      </c>
      <c r="I115" s="78">
        <v>0</v>
      </c>
      <c r="J115" s="78">
        <v>0</v>
      </c>
      <c r="K115" s="80">
        <f t="shared" si="47"/>
        <v>0</v>
      </c>
      <c r="L115" s="80">
        <v>0</v>
      </c>
      <c r="P115" s="140"/>
    </row>
    <row r="116" spans="2:16" x14ac:dyDescent="0.4">
      <c r="B116" s="61"/>
      <c r="C116" s="13">
        <v>45</v>
      </c>
      <c r="D116" s="61"/>
      <c r="E116" s="61"/>
      <c r="F116" s="61" t="s">
        <v>133</v>
      </c>
      <c r="G116" s="60">
        <f>G117</f>
        <v>1442797.08</v>
      </c>
      <c r="H116" s="60">
        <f t="shared" ref="H116:J117" si="48">H117</f>
        <v>312057</v>
      </c>
      <c r="I116" s="60">
        <f t="shared" si="48"/>
        <v>297217</v>
      </c>
      <c r="J116" s="60">
        <f t="shared" si="48"/>
        <v>297892.98</v>
      </c>
      <c r="K116" s="68">
        <f t="shared" si="24"/>
        <v>0.20646907602557663</v>
      </c>
      <c r="L116" s="68">
        <f t="shared" si="25"/>
        <v>1.0022743651944539</v>
      </c>
    </row>
    <row r="117" spans="2:16" x14ac:dyDescent="0.4">
      <c r="B117" s="61"/>
      <c r="C117" s="61"/>
      <c r="D117" s="9">
        <v>451</v>
      </c>
      <c r="E117" s="61"/>
      <c r="F117" s="61" t="s">
        <v>134</v>
      </c>
      <c r="G117" s="60">
        <f>G118</f>
        <v>1442797.08</v>
      </c>
      <c r="H117" s="60">
        <f t="shared" si="48"/>
        <v>312057</v>
      </c>
      <c r="I117" s="60">
        <f t="shared" si="48"/>
        <v>297217</v>
      </c>
      <c r="J117" s="60">
        <f t="shared" si="48"/>
        <v>297892.98</v>
      </c>
      <c r="K117" s="68">
        <f t="shared" si="24"/>
        <v>0.20646907602557663</v>
      </c>
      <c r="L117" s="68">
        <f t="shared" si="25"/>
        <v>1.0022743651944539</v>
      </c>
    </row>
    <row r="118" spans="2:16" x14ac:dyDescent="0.4">
      <c r="B118" s="61"/>
      <c r="C118" s="61"/>
      <c r="D118" s="61"/>
      <c r="E118" s="9">
        <v>4511</v>
      </c>
      <c r="F118" s="61" t="s">
        <v>134</v>
      </c>
      <c r="G118" s="60">
        <v>1442797.08</v>
      </c>
      <c r="H118" s="60">
        <v>312057</v>
      </c>
      <c r="I118" s="60">
        <v>297217</v>
      </c>
      <c r="J118" s="60">
        <v>297892.98</v>
      </c>
      <c r="K118" s="68">
        <f t="shared" si="24"/>
        <v>0.20646907602557663</v>
      </c>
      <c r="L118" s="68">
        <f t="shared" si="25"/>
        <v>1.0022743651944539</v>
      </c>
    </row>
    <row r="119" spans="2:16" x14ac:dyDescent="0.4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2:16" x14ac:dyDescent="0.4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2:16" x14ac:dyDescent="0.4">
      <c r="B121" s="63"/>
      <c r="C121" s="63"/>
      <c r="D121" s="63"/>
      <c r="E121" s="63"/>
      <c r="F121" s="63"/>
      <c r="G121" s="107">
        <f>G10-G50</f>
        <v>-94601.109999999404</v>
      </c>
      <c r="H121" s="107">
        <f t="shared" ref="H121:J121" si="49">H10-H50</f>
        <v>-764378</v>
      </c>
      <c r="I121" s="107">
        <f t="shared" si="49"/>
        <v>-764378</v>
      </c>
      <c r="J121" s="107">
        <f t="shared" si="49"/>
        <v>181530.45999999903</v>
      </c>
      <c r="K121" s="63"/>
      <c r="L121" s="63"/>
    </row>
    <row r="122" spans="2:16" x14ac:dyDescent="0.4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2:16" x14ac:dyDescent="0.4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2:16" x14ac:dyDescent="0.4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2:16" x14ac:dyDescent="0.4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2:16" x14ac:dyDescent="0.4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2:16" x14ac:dyDescent="0.4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2:16" x14ac:dyDescent="0.4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2:12" x14ac:dyDescent="0.4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2:12" x14ac:dyDescent="0.4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2:12" x14ac:dyDescent="0.4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2:12" x14ac:dyDescent="0.4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2:12" x14ac:dyDescent="0.4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2:12" x14ac:dyDescent="0.4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2:12" x14ac:dyDescent="0.4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2:12" x14ac:dyDescent="0.4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2:12" x14ac:dyDescent="0.4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</sheetData>
  <mergeCells count="7">
    <mergeCell ref="B2:L2"/>
    <mergeCell ref="B4:L4"/>
    <mergeCell ref="B6:L6"/>
    <mergeCell ref="B49:F49"/>
    <mergeCell ref="B9:F9"/>
    <mergeCell ref="B48:F48"/>
    <mergeCell ref="B8:F8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4294967294" r:id="rId1"/>
  <rowBreaks count="3" manualBreakCount="3">
    <brk id="39" min="1" max="11" man="1"/>
    <brk id="47" min="1" max="11" man="1"/>
    <brk id="9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zoomScaleNormal="100" workbookViewId="0">
      <selection activeCell="B36" sqref="B36"/>
    </sheetView>
  </sheetViews>
  <sheetFormatPr defaultRowHeight="14.6" x14ac:dyDescent="0.4"/>
  <cols>
    <col min="2" max="2" width="37.69140625" customWidth="1"/>
    <col min="3" max="6" width="25.23046875" customWidth="1"/>
    <col min="7" max="8" width="15.69140625" customWidth="1"/>
  </cols>
  <sheetData>
    <row r="1" spans="2:11" ht="17.600000000000001" x14ac:dyDescent="0.4">
      <c r="B1" s="3"/>
      <c r="C1" s="3"/>
      <c r="D1" s="3"/>
      <c r="E1" s="3"/>
      <c r="F1" s="4"/>
      <c r="G1" s="4"/>
      <c r="H1" s="4"/>
    </row>
    <row r="2" spans="2:11" ht="15.75" customHeight="1" x14ac:dyDescent="0.4">
      <c r="B2" s="142" t="s">
        <v>42</v>
      </c>
      <c r="C2" s="142"/>
      <c r="D2" s="142"/>
      <c r="E2" s="142"/>
      <c r="F2" s="142"/>
      <c r="G2" s="142"/>
      <c r="H2" s="142"/>
    </row>
    <row r="3" spans="2:11" ht="17.600000000000001" x14ac:dyDescent="0.4">
      <c r="B3" s="3"/>
      <c r="C3" s="3"/>
      <c r="D3" s="3"/>
      <c r="E3" s="3"/>
      <c r="F3" s="4"/>
      <c r="G3" s="4"/>
      <c r="H3" s="4"/>
    </row>
    <row r="4" spans="2:11" ht="33.75" customHeight="1" x14ac:dyDescent="0.4">
      <c r="B4" s="37" t="s">
        <v>8</v>
      </c>
      <c r="C4" s="37" t="s">
        <v>255</v>
      </c>
      <c r="D4" s="37" t="s">
        <v>57</v>
      </c>
      <c r="E4" s="37" t="s">
        <v>54</v>
      </c>
      <c r="F4" s="37" t="s">
        <v>256</v>
      </c>
      <c r="G4" s="37" t="s">
        <v>25</v>
      </c>
      <c r="H4" s="37" t="s">
        <v>55</v>
      </c>
    </row>
    <row r="5" spans="2:11" x14ac:dyDescent="0.4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39</v>
      </c>
      <c r="H5" s="37" t="s">
        <v>40</v>
      </c>
    </row>
    <row r="6" spans="2:11" s="51" customFormat="1" x14ac:dyDescent="0.4">
      <c r="B6" s="8" t="s">
        <v>51</v>
      </c>
      <c r="C6" s="62">
        <f>C7+C10+C12+C14+C19</f>
        <v>21957715.459999997</v>
      </c>
      <c r="D6" s="62">
        <f t="shared" ref="D6:F6" si="0">D7+D10+D12+D14+D19</f>
        <v>11823818</v>
      </c>
      <c r="E6" s="62">
        <f t="shared" si="0"/>
        <v>11195682</v>
      </c>
      <c r="F6" s="62">
        <f t="shared" si="0"/>
        <v>10676550.600000001</v>
      </c>
      <c r="G6" s="76">
        <f>F6/C6</f>
        <v>0.48623230497040071</v>
      </c>
      <c r="H6" s="76">
        <f>F6/E6</f>
        <v>0.95363110527790995</v>
      </c>
    </row>
    <row r="7" spans="2:11" s="51" customFormat="1" x14ac:dyDescent="0.4">
      <c r="B7" s="8" t="s">
        <v>18</v>
      </c>
      <c r="C7" s="56">
        <f>SUM(C8:C9)</f>
        <v>7787198.6800000006</v>
      </c>
      <c r="D7" s="56">
        <f t="shared" ref="D7:F7" si="1">SUM(D8:D9)</f>
        <v>7470184</v>
      </c>
      <c r="E7" s="56">
        <f t="shared" si="1"/>
        <v>6842048</v>
      </c>
      <c r="F7" s="56">
        <f t="shared" si="1"/>
        <v>6758104.7800000003</v>
      </c>
      <c r="G7" s="76">
        <f t="shared" ref="G7:G33" si="2">F7/C7</f>
        <v>0.86784799742646346</v>
      </c>
      <c r="H7" s="76">
        <f t="shared" ref="H7:H20" si="3">F7/E7</f>
        <v>0.98773127285865292</v>
      </c>
    </row>
    <row r="8" spans="2:11" x14ac:dyDescent="0.4">
      <c r="B8" s="22" t="s">
        <v>19</v>
      </c>
      <c r="C8" s="53">
        <v>5533384.4800000004</v>
      </c>
      <c r="D8" s="53">
        <v>7156743</v>
      </c>
      <c r="E8" s="53">
        <v>6530453</v>
      </c>
      <c r="F8" s="60">
        <f>6273239.86+169118.41+1.18</f>
        <v>6442359.4500000002</v>
      </c>
      <c r="G8" s="68">
        <f t="shared" si="2"/>
        <v>1.1642710665209368</v>
      </c>
      <c r="H8" s="68">
        <f t="shared" si="3"/>
        <v>0.98651034621947364</v>
      </c>
    </row>
    <row r="9" spans="2:11" x14ac:dyDescent="0.4">
      <c r="B9" s="23" t="s">
        <v>20</v>
      </c>
      <c r="C9" s="53">
        <v>2253814.2000000002</v>
      </c>
      <c r="D9" s="53">
        <v>313441</v>
      </c>
      <c r="E9" s="53">
        <v>311595</v>
      </c>
      <c r="F9" s="60">
        <f>311294.35+4459.51-8.53</f>
        <v>315745.32999999996</v>
      </c>
      <c r="G9" s="68">
        <f t="shared" si="2"/>
        <v>0.14009377081748794</v>
      </c>
      <c r="H9" s="68">
        <f t="shared" si="3"/>
        <v>1.0133196296474589</v>
      </c>
    </row>
    <row r="10" spans="2:11" s="51" customFormat="1" x14ac:dyDescent="0.4">
      <c r="B10" s="8" t="s">
        <v>21</v>
      </c>
      <c r="C10" s="56">
        <f>C11</f>
        <v>636526.30000000005</v>
      </c>
      <c r="D10" s="56">
        <f t="shared" ref="D10:F10" si="4">D11</f>
        <v>572323</v>
      </c>
      <c r="E10" s="56">
        <f t="shared" si="4"/>
        <v>572323</v>
      </c>
      <c r="F10" s="56">
        <f t="shared" si="4"/>
        <v>749091.2</v>
      </c>
      <c r="G10" s="76">
        <f t="shared" si="2"/>
        <v>1.1768424965315649</v>
      </c>
      <c r="H10" s="76">
        <f t="shared" si="3"/>
        <v>1.3088609054677165</v>
      </c>
    </row>
    <row r="11" spans="2:11" x14ac:dyDescent="0.4">
      <c r="B11" s="24" t="s">
        <v>22</v>
      </c>
      <c r="C11" s="53">
        <v>636526.30000000005</v>
      </c>
      <c r="D11" s="53">
        <v>572323</v>
      </c>
      <c r="E11" s="53">
        <v>572323</v>
      </c>
      <c r="F11" s="60">
        <v>749091.2</v>
      </c>
      <c r="G11" s="68">
        <f t="shared" si="2"/>
        <v>1.1768424965315649</v>
      </c>
      <c r="H11" s="68">
        <f t="shared" si="3"/>
        <v>1.3088609054677165</v>
      </c>
    </row>
    <row r="12" spans="2:11" s="51" customFormat="1" x14ac:dyDescent="0.4">
      <c r="B12" s="8" t="s">
        <v>161</v>
      </c>
      <c r="C12" s="56">
        <f>C13</f>
        <v>380.47</v>
      </c>
      <c r="D12" s="56">
        <f t="shared" ref="D12:F12" si="5">D13</f>
        <v>18494</v>
      </c>
      <c r="E12" s="56">
        <f t="shared" si="5"/>
        <v>18494</v>
      </c>
      <c r="F12" s="56">
        <f t="shared" si="5"/>
        <v>5195</v>
      </c>
      <c r="G12" s="76">
        <f t="shared" si="2"/>
        <v>13.654164585906903</v>
      </c>
      <c r="H12" s="76">
        <f t="shared" si="3"/>
        <v>0.28090191413431381</v>
      </c>
    </row>
    <row r="13" spans="2:11" x14ac:dyDescent="0.4">
      <c r="B13" s="24" t="s">
        <v>162</v>
      </c>
      <c r="C13" s="53">
        <v>380.47</v>
      </c>
      <c r="D13" s="53">
        <v>18494</v>
      </c>
      <c r="E13" s="53">
        <v>18494</v>
      </c>
      <c r="F13" s="60">
        <v>5195</v>
      </c>
      <c r="G13" s="68">
        <f t="shared" si="2"/>
        <v>13.654164585906903</v>
      </c>
      <c r="H13" s="68">
        <f t="shared" si="3"/>
        <v>0.28090191413431381</v>
      </c>
    </row>
    <row r="14" spans="2:11" s="51" customFormat="1" x14ac:dyDescent="0.4">
      <c r="B14" s="8" t="s">
        <v>163</v>
      </c>
      <c r="C14" s="56">
        <f>SUM(C15:C18)</f>
        <v>13531243.879999999</v>
      </c>
      <c r="D14" s="56">
        <f t="shared" ref="D14" si="6">SUM(D15:D18)</f>
        <v>3761888</v>
      </c>
      <c r="E14" s="56">
        <f t="shared" ref="E14" si="7">SUM(E15:E18)</f>
        <v>3761888</v>
      </c>
      <c r="F14" s="56">
        <f t="shared" ref="F14" si="8">SUM(F15:F18)</f>
        <v>3163438.5300000003</v>
      </c>
      <c r="G14" s="76">
        <f t="shared" si="2"/>
        <v>0.23378771072744869</v>
      </c>
      <c r="H14" s="76">
        <f t="shared" si="3"/>
        <v>0.84091778649444116</v>
      </c>
    </row>
    <row r="15" spans="2:11" x14ac:dyDescent="0.4">
      <c r="B15" s="24" t="s">
        <v>164</v>
      </c>
      <c r="C15" s="83">
        <v>141432.79</v>
      </c>
      <c r="D15" s="60">
        <v>493710</v>
      </c>
      <c r="E15" s="60">
        <v>493710</v>
      </c>
      <c r="F15" s="60">
        <f>360643.54+80512.82</f>
        <v>441156.36</v>
      </c>
      <c r="G15" s="68">
        <f t="shared" si="2"/>
        <v>3.1191943537280142</v>
      </c>
      <c r="H15" s="68">
        <f t="shared" si="3"/>
        <v>0.8935536245974357</v>
      </c>
    </row>
    <row r="16" spans="2:11" ht="15" customHeight="1" x14ac:dyDescent="0.4">
      <c r="B16" s="24" t="s">
        <v>165</v>
      </c>
      <c r="C16" s="82">
        <v>582984.16</v>
      </c>
      <c r="D16" s="60">
        <v>417654</v>
      </c>
      <c r="E16" s="78">
        <f>120000+291990+5664</f>
        <v>417654</v>
      </c>
      <c r="F16" s="78">
        <v>483542.17</v>
      </c>
      <c r="G16" s="80">
        <f t="shared" si="2"/>
        <v>0.82942591441935565</v>
      </c>
      <c r="H16" s="77">
        <f t="shared" si="3"/>
        <v>1.1577577851523031</v>
      </c>
      <c r="I16" s="32"/>
      <c r="J16" s="32"/>
      <c r="K16" s="32"/>
    </row>
    <row r="17" spans="1:11" ht="25.75" x14ac:dyDescent="0.4">
      <c r="B17" s="24" t="s">
        <v>166</v>
      </c>
      <c r="C17" s="82">
        <v>12771613.91</v>
      </c>
      <c r="D17" s="60">
        <v>1748232</v>
      </c>
      <c r="E17" s="78">
        <v>1748232</v>
      </c>
      <c r="F17" s="82">
        <f>1742788.59+25270.42+21164.56</f>
        <v>1789223.57</v>
      </c>
      <c r="G17" s="80">
        <f t="shared" si="2"/>
        <v>0.14009377222083597</v>
      </c>
      <c r="H17" s="77">
        <f t="shared" si="3"/>
        <v>1.023447442902315</v>
      </c>
      <c r="I17" s="32"/>
      <c r="J17" s="32"/>
      <c r="K17" s="32"/>
    </row>
    <row r="18" spans="1:11" x14ac:dyDescent="0.4">
      <c r="B18" s="24" t="s">
        <v>167</v>
      </c>
      <c r="C18" s="82">
        <v>35213.019999999997</v>
      </c>
      <c r="D18" s="60">
        <v>1102292</v>
      </c>
      <c r="E18" s="78">
        <v>1102292</v>
      </c>
      <c r="F18" s="82">
        <v>449516.43</v>
      </c>
      <c r="G18" s="77">
        <v>0</v>
      </c>
      <c r="H18" s="77">
        <f t="shared" si="3"/>
        <v>0.40780158977838904</v>
      </c>
      <c r="I18" s="32"/>
      <c r="J18" s="32"/>
      <c r="K18" s="32"/>
    </row>
    <row r="19" spans="1:11" s="51" customFormat="1" ht="37.299999999999997" x14ac:dyDescent="0.4">
      <c r="B19" s="8" t="s">
        <v>168</v>
      </c>
      <c r="C19" s="64">
        <f>C20</f>
        <v>2366.13</v>
      </c>
      <c r="D19" s="64">
        <f t="shared" ref="D19" si="9">D20</f>
        <v>929</v>
      </c>
      <c r="E19" s="64">
        <f t="shared" ref="E19" si="10">E20</f>
        <v>929</v>
      </c>
      <c r="F19" s="64">
        <f t="shared" ref="F19" si="11">F20</f>
        <v>721.09</v>
      </c>
      <c r="G19" s="76">
        <f t="shared" si="2"/>
        <v>0.3047550219134198</v>
      </c>
      <c r="H19" s="76">
        <f t="shared" si="3"/>
        <v>0.77620021528525296</v>
      </c>
    </row>
    <row r="20" spans="1:11" ht="25.75" x14ac:dyDescent="0.4">
      <c r="B20" s="24" t="s">
        <v>266</v>
      </c>
      <c r="C20" s="60">
        <v>2366.13</v>
      </c>
      <c r="D20" s="60">
        <v>929</v>
      </c>
      <c r="E20" s="60">
        <v>929</v>
      </c>
      <c r="F20" s="60">
        <v>721.09</v>
      </c>
      <c r="G20" s="68">
        <f t="shared" si="2"/>
        <v>0.3047550219134198</v>
      </c>
      <c r="H20" s="68">
        <f t="shared" si="3"/>
        <v>0.77620021528525296</v>
      </c>
    </row>
    <row r="21" spans="1:11" x14ac:dyDescent="0.4">
      <c r="A21" s="50"/>
      <c r="B21" s="81"/>
      <c r="C21" s="73"/>
      <c r="D21" s="73"/>
      <c r="E21" s="73"/>
      <c r="F21" s="73"/>
      <c r="G21" s="74"/>
      <c r="H21" s="74"/>
      <c r="I21" s="50"/>
    </row>
    <row r="22" spans="1:11" s="51" customFormat="1" ht="15.75" customHeight="1" x14ac:dyDescent="0.4">
      <c r="B22" s="8" t="s">
        <v>52</v>
      </c>
      <c r="C22" s="56">
        <f>C23+C26+C28+C30+C35</f>
        <v>22052316.57</v>
      </c>
      <c r="D22" s="56">
        <f t="shared" ref="D22:F22" si="12">D23+D26+D28+D30+D35</f>
        <v>12588196</v>
      </c>
      <c r="E22" s="56">
        <f t="shared" si="12"/>
        <v>11960060</v>
      </c>
      <c r="F22" s="56">
        <f t="shared" si="12"/>
        <v>10495020.140000001</v>
      </c>
      <c r="G22" s="76">
        <f t="shared" si="2"/>
        <v>0.47591463267298817</v>
      </c>
      <c r="H22" s="76">
        <f t="shared" ref="H22:H36" si="13">F22/E22</f>
        <v>0.8775056429482796</v>
      </c>
    </row>
    <row r="23" spans="1:11" s="51" customFormat="1" ht="15.75" customHeight="1" x14ac:dyDescent="0.4">
      <c r="B23" s="8" t="s">
        <v>18</v>
      </c>
      <c r="C23" s="56">
        <f>SUM(C24:C25)</f>
        <v>7787199.8200000003</v>
      </c>
      <c r="D23" s="56">
        <f t="shared" ref="D23:F23" si="14">SUM(D24:D25)</f>
        <v>7470184</v>
      </c>
      <c r="E23" s="56">
        <f t="shared" si="14"/>
        <v>6842048</v>
      </c>
      <c r="F23" s="56">
        <f t="shared" si="14"/>
        <v>6758104.7800000003</v>
      </c>
      <c r="G23" s="76">
        <f t="shared" si="2"/>
        <v>0.86784787037864919</v>
      </c>
      <c r="H23" s="76">
        <f t="shared" si="13"/>
        <v>0.98773127285865292</v>
      </c>
    </row>
    <row r="24" spans="1:11" x14ac:dyDescent="0.4">
      <c r="B24" s="22" t="s">
        <v>19</v>
      </c>
      <c r="C24" s="53">
        <v>5533385.6900000004</v>
      </c>
      <c r="D24" s="53">
        <f>6980193+176550</f>
        <v>7156743</v>
      </c>
      <c r="E24" s="53">
        <f>5952576+176550+401327</f>
        <v>6530453</v>
      </c>
      <c r="F24" s="60">
        <f>5893739.33+169118.41+379500.53+1.18</f>
        <v>6442359.4500000002</v>
      </c>
      <c r="G24" s="68">
        <f t="shared" si="2"/>
        <v>1.1642708119267211</v>
      </c>
      <c r="H24" s="68">
        <f t="shared" si="13"/>
        <v>0.98651034621947364</v>
      </c>
    </row>
    <row r="25" spans="1:11" x14ac:dyDescent="0.4">
      <c r="B25" s="23" t="s">
        <v>20</v>
      </c>
      <c r="C25" s="53">
        <v>2253814.13</v>
      </c>
      <c r="D25" s="53">
        <v>313441</v>
      </c>
      <c r="E25" s="53">
        <f>311595</f>
        <v>311595</v>
      </c>
      <c r="F25" s="60">
        <f>311294.35+4459.51-8.53</f>
        <v>315745.32999999996</v>
      </c>
      <c r="G25" s="68">
        <f t="shared" si="2"/>
        <v>0.14009377516858498</v>
      </c>
      <c r="H25" s="68">
        <f t="shared" si="13"/>
        <v>1.0133196296474589</v>
      </c>
    </row>
    <row r="26" spans="1:11" s="51" customFormat="1" x14ac:dyDescent="0.4">
      <c r="B26" s="8" t="s">
        <v>21</v>
      </c>
      <c r="C26" s="56">
        <f>C27</f>
        <v>789820.28</v>
      </c>
      <c r="D26" s="56">
        <f t="shared" ref="D26:F26" si="15">D27</f>
        <v>1161455</v>
      </c>
      <c r="E26" s="56">
        <f t="shared" si="15"/>
        <v>1161455</v>
      </c>
      <c r="F26" s="56">
        <f t="shared" si="15"/>
        <v>750618.36</v>
      </c>
      <c r="G26" s="76">
        <f t="shared" si="2"/>
        <v>0.95036602504053191</v>
      </c>
      <c r="H26" s="76">
        <f t="shared" si="13"/>
        <v>0.64627416473302879</v>
      </c>
    </row>
    <row r="27" spans="1:11" x14ac:dyDescent="0.4">
      <c r="B27" s="24" t="s">
        <v>22</v>
      </c>
      <c r="C27" s="53">
        <v>789820.28</v>
      </c>
      <c r="D27" s="53">
        <v>1161455</v>
      </c>
      <c r="E27" s="53">
        <f>1161455</f>
        <v>1161455</v>
      </c>
      <c r="F27" s="60">
        <v>750618.36</v>
      </c>
      <c r="G27" s="68">
        <f t="shared" si="2"/>
        <v>0.95036602504053191</v>
      </c>
      <c r="H27" s="68">
        <f t="shared" si="13"/>
        <v>0.64627416473302879</v>
      </c>
    </row>
    <row r="28" spans="1:11" s="51" customFormat="1" x14ac:dyDescent="0.4">
      <c r="B28" s="8" t="s">
        <v>161</v>
      </c>
      <c r="C28" s="56">
        <f>C29</f>
        <v>26440.27</v>
      </c>
      <c r="D28" s="56">
        <f t="shared" ref="D28:F28" si="16">D29</f>
        <v>23398</v>
      </c>
      <c r="E28" s="56">
        <f t="shared" si="16"/>
        <v>23398</v>
      </c>
      <c r="F28" s="56">
        <f t="shared" si="16"/>
        <v>22899.89</v>
      </c>
      <c r="G28" s="76">
        <f t="shared" si="2"/>
        <v>0.86609894679592903</v>
      </c>
      <c r="H28" s="76">
        <f t="shared" si="13"/>
        <v>0.97871142832720748</v>
      </c>
    </row>
    <row r="29" spans="1:11" x14ac:dyDescent="0.4">
      <c r="B29" s="24" t="s">
        <v>162</v>
      </c>
      <c r="C29" s="53">
        <v>26440.27</v>
      </c>
      <c r="D29" s="53">
        <v>23398</v>
      </c>
      <c r="E29" s="53">
        <f>23398</f>
        <v>23398</v>
      </c>
      <c r="F29" s="60">
        <v>22899.89</v>
      </c>
      <c r="G29" s="68">
        <f t="shared" si="2"/>
        <v>0.86609894679592903</v>
      </c>
      <c r="H29" s="68">
        <f t="shared" si="13"/>
        <v>0.97871142832720748</v>
      </c>
    </row>
    <row r="30" spans="1:11" s="51" customFormat="1" x14ac:dyDescent="0.4">
      <c r="B30" s="8" t="s">
        <v>163</v>
      </c>
      <c r="C30" s="56">
        <f>SUM(C31:C34)</f>
        <v>13448856.199999999</v>
      </c>
      <c r="D30" s="56">
        <f t="shared" ref="D30:F30" si="17">SUM(D31:D34)</f>
        <v>3932230</v>
      </c>
      <c r="E30" s="56">
        <f t="shared" si="17"/>
        <v>3932230</v>
      </c>
      <c r="F30" s="56">
        <f t="shared" si="17"/>
        <v>2963397.1100000003</v>
      </c>
      <c r="G30" s="76">
        <f t="shared" si="2"/>
        <v>0.22034566106818812</v>
      </c>
      <c r="H30" s="76">
        <f t="shared" si="13"/>
        <v>0.7536174409940416</v>
      </c>
    </row>
    <row r="31" spans="1:11" x14ac:dyDescent="0.4">
      <c r="B31" s="24" t="s">
        <v>164</v>
      </c>
      <c r="C31" s="60">
        <v>144495.1</v>
      </c>
      <c r="D31" s="60">
        <f>493710+42700</f>
        <v>536410</v>
      </c>
      <c r="E31" s="60">
        <f>493710+42700</f>
        <v>536410</v>
      </c>
      <c r="F31" s="60">
        <f>234978.76+3672.39-3672.39+3672.39</f>
        <v>238651.15000000002</v>
      </c>
      <c r="G31" s="68">
        <f t="shared" si="2"/>
        <v>1.6516210584303552</v>
      </c>
      <c r="H31" s="68">
        <f t="shared" si="13"/>
        <v>0.4449043641990269</v>
      </c>
    </row>
    <row r="32" spans="1:11" ht="15" customHeight="1" x14ac:dyDescent="0.4">
      <c r="B32" s="24" t="s">
        <v>165</v>
      </c>
      <c r="C32" s="78">
        <v>497534.17</v>
      </c>
      <c r="D32" s="60">
        <f>545296</f>
        <v>545296</v>
      </c>
      <c r="E32" s="78">
        <f>545296</f>
        <v>545296</v>
      </c>
      <c r="F32" s="78">
        <v>486005.96</v>
      </c>
      <c r="G32" s="80">
        <f t="shared" si="2"/>
        <v>0.97682931003512796</v>
      </c>
      <c r="H32" s="80">
        <f t="shared" si="13"/>
        <v>0.89126998914351108</v>
      </c>
      <c r="I32" s="32"/>
      <c r="J32" s="32"/>
      <c r="K32" s="32"/>
    </row>
    <row r="33" spans="2:11" ht="25.75" x14ac:dyDescent="0.4">
      <c r="B33" s="24" t="s">
        <v>166</v>
      </c>
      <c r="C33" s="82">
        <v>12771613.91</v>
      </c>
      <c r="D33" s="60">
        <v>1748232</v>
      </c>
      <c r="E33" s="60">
        <f>1748232</f>
        <v>1748232</v>
      </c>
      <c r="F33" s="60">
        <f>1742788.59+25270.42+21164.56</f>
        <v>1789223.57</v>
      </c>
      <c r="G33" s="80">
        <f t="shared" si="2"/>
        <v>0.14009377222083597</v>
      </c>
      <c r="H33" s="80">
        <f t="shared" si="13"/>
        <v>1.023447442902315</v>
      </c>
      <c r="I33" s="32"/>
      <c r="J33" s="32"/>
      <c r="K33" s="32"/>
    </row>
    <row r="34" spans="2:11" x14ac:dyDescent="0.4">
      <c r="B34" s="24" t="s">
        <v>167</v>
      </c>
      <c r="C34" s="78">
        <v>35213.019999999997</v>
      </c>
      <c r="D34" s="60">
        <f>1054592+47700</f>
        <v>1102292</v>
      </c>
      <c r="E34" s="78">
        <f>1054592+47700</f>
        <v>1102292</v>
      </c>
      <c r="F34" s="78">
        <f>445844.04+3672.39</f>
        <v>449516.43</v>
      </c>
      <c r="G34" s="77">
        <v>0</v>
      </c>
      <c r="H34" s="77">
        <f t="shared" si="13"/>
        <v>0.40780158977838904</v>
      </c>
      <c r="I34" s="32"/>
      <c r="J34" s="32"/>
      <c r="K34" s="32"/>
    </row>
    <row r="35" spans="2:11" s="51" customFormat="1" ht="37.299999999999997" x14ac:dyDescent="0.4">
      <c r="B35" s="8" t="s">
        <v>168</v>
      </c>
      <c r="C35" s="64">
        <f>C36</f>
        <v>0</v>
      </c>
      <c r="D35" s="64">
        <f t="shared" ref="D35:F35" si="18">D36</f>
        <v>929</v>
      </c>
      <c r="E35" s="64">
        <f t="shared" si="18"/>
        <v>929</v>
      </c>
      <c r="F35" s="64">
        <f t="shared" si="18"/>
        <v>0</v>
      </c>
      <c r="G35" s="76">
        <v>0</v>
      </c>
      <c r="H35" s="76">
        <f t="shared" si="13"/>
        <v>0</v>
      </c>
    </row>
    <row r="36" spans="2:11" ht="25.75" x14ac:dyDescent="0.4">
      <c r="B36" s="24" t="s">
        <v>266</v>
      </c>
      <c r="C36" s="60">
        <v>0</v>
      </c>
      <c r="D36" s="60">
        <v>929</v>
      </c>
      <c r="E36" s="60">
        <v>929</v>
      </c>
      <c r="F36" s="60">
        <v>0</v>
      </c>
      <c r="G36" s="68">
        <v>0</v>
      </c>
      <c r="H36" s="68">
        <f t="shared" si="13"/>
        <v>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3"/>
  <sheetViews>
    <sheetView workbookViewId="0">
      <selection activeCell="F9" sqref="F9"/>
    </sheetView>
  </sheetViews>
  <sheetFormatPr defaultRowHeight="14.6" x14ac:dyDescent="0.4"/>
  <cols>
    <col min="2" max="2" width="37.69140625" customWidth="1"/>
    <col min="3" max="6" width="25.23046875" customWidth="1"/>
    <col min="7" max="8" width="15.69140625" customWidth="1"/>
  </cols>
  <sheetData>
    <row r="1" spans="2:8" ht="17.600000000000001" x14ac:dyDescent="0.4">
      <c r="B1" s="16"/>
      <c r="C1" s="16"/>
      <c r="D1" s="16"/>
      <c r="E1" s="16"/>
      <c r="F1" s="4"/>
      <c r="G1" s="4"/>
      <c r="H1" s="4"/>
    </row>
    <row r="2" spans="2:8" ht="15.75" customHeight="1" x14ac:dyDescent="0.4">
      <c r="B2" s="142" t="s">
        <v>43</v>
      </c>
      <c r="C2" s="142"/>
      <c r="D2" s="142"/>
      <c r="E2" s="142"/>
      <c r="F2" s="142"/>
      <c r="G2" s="142"/>
      <c r="H2" s="142"/>
    </row>
    <row r="3" spans="2:8" ht="17.600000000000001" x14ac:dyDescent="0.4">
      <c r="B3" s="16"/>
      <c r="C3" s="16"/>
      <c r="D3" s="16"/>
      <c r="E3" s="16"/>
      <c r="F3" s="4"/>
      <c r="G3" s="4"/>
      <c r="H3" s="4"/>
    </row>
    <row r="4" spans="2:8" ht="24.9" x14ac:dyDescent="0.4">
      <c r="B4" s="37" t="s">
        <v>8</v>
      </c>
      <c r="C4" s="37" t="s">
        <v>257</v>
      </c>
      <c r="D4" s="37" t="s">
        <v>57</v>
      </c>
      <c r="E4" s="37" t="s">
        <v>54</v>
      </c>
      <c r="F4" s="37" t="s">
        <v>258</v>
      </c>
      <c r="G4" s="37" t="s">
        <v>25</v>
      </c>
      <c r="H4" s="37" t="s">
        <v>55</v>
      </c>
    </row>
    <row r="5" spans="2:8" x14ac:dyDescent="0.4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39</v>
      </c>
      <c r="H5" s="39" t="s">
        <v>40</v>
      </c>
    </row>
    <row r="6" spans="2:8" ht="15.75" customHeight="1" x14ac:dyDescent="0.4">
      <c r="B6" s="8" t="s">
        <v>52</v>
      </c>
      <c r="C6" s="56">
        <f>C7</f>
        <v>22052316.569999997</v>
      </c>
      <c r="D6" s="56">
        <f t="shared" ref="D6:F7" si="0">D7</f>
        <v>12588196</v>
      </c>
      <c r="E6" s="56">
        <f t="shared" si="0"/>
        <v>11960060</v>
      </c>
      <c r="F6" s="56">
        <f t="shared" si="0"/>
        <v>14495020.140000001</v>
      </c>
      <c r="G6" s="76">
        <f>F6/C6</f>
        <v>0.65730147188794885</v>
      </c>
      <c r="H6" s="76">
        <f>F6/D6</f>
        <v>1.1514771568539288</v>
      </c>
    </row>
    <row r="7" spans="2:8" ht="15.75" customHeight="1" x14ac:dyDescent="0.4">
      <c r="B7" s="8" t="s">
        <v>9</v>
      </c>
      <c r="C7" s="56">
        <f>C8</f>
        <v>22052316.569999997</v>
      </c>
      <c r="D7" s="56">
        <f t="shared" si="0"/>
        <v>12588196</v>
      </c>
      <c r="E7" s="56">
        <f t="shared" si="0"/>
        <v>11960060</v>
      </c>
      <c r="F7" s="56">
        <f t="shared" si="0"/>
        <v>14495020.140000001</v>
      </c>
      <c r="G7" s="76">
        <f t="shared" ref="G7:G8" si="1">F7/C7</f>
        <v>0.65730147188794885</v>
      </c>
      <c r="H7" s="76">
        <f t="shared" ref="H7:H8" si="2">F7/D7</f>
        <v>1.1514771568539288</v>
      </c>
    </row>
    <row r="8" spans="2:8" x14ac:dyDescent="0.4">
      <c r="B8" s="21" t="s">
        <v>265</v>
      </c>
      <c r="C8" s="53">
        <v>22052316.569999997</v>
      </c>
      <c r="D8" s="53">
        <v>12588196</v>
      </c>
      <c r="E8" s="53">
        <v>11960060</v>
      </c>
      <c r="F8" s="60">
        <v>14495020.140000001</v>
      </c>
      <c r="G8" s="68">
        <f t="shared" si="1"/>
        <v>0.65730147188794885</v>
      </c>
      <c r="H8" s="68">
        <f t="shared" si="2"/>
        <v>1.1514771568539288</v>
      </c>
    </row>
    <row r="10" spans="2:8" x14ac:dyDescent="0.4">
      <c r="B10" s="32"/>
      <c r="C10" s="32"/>
      <c r="D10" s="32"/>
      <c r="E10" s="32"/>
      <c r="F10" s="32"/>
      <c r="G10" s="32"/>
      <c r="H10" s="32"/>
    </row>
    <row r="11" spans="2:8" x14ac:dyDescent="0.4">
      <c r="B11" s="32"/>
      <c r="C11" s="32"/>
      <c r="D11" s="32"/>
      <c r="E11" s="32"/>
      <c r="F11" s="32"/>
      <c r="G11" s="32"/>
      <c r="H11" s="32"/>
    </row>
    <row r="12" spans="2:8" x14ac:dyDescent="0.4">
      <c r="B12" s="32"/>
      <c r="C12" s="32"/>
      <c r="D12" s="32"/>
      <c r="E12" s="32"/>
      <c r="F12" s="32"/>
      <c r="G12" s="32"/>
      <c r="H12" s="32"/>
    </row>
    <row r="13" spans="2:8" x14ac:dyDescent="0.4">
      <c r="B13" s="136"/>
      <c r="C13" s="137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1"/>
  <sheetViews>
    <sheetView zoomScaleNormal="100" workbookViewId="0">
      <selection activeCell="G13" sqref="G13"/>
    </sheetView>
  </sheetViews>
  <sheetFormatPr defaultRowHeight="14.6" x14ac:dyDescent="0.4"/>
  <cols>
    <col min="2" max="2" width="7.3828125" bestFit="1" customWidth="1"/>
    <col min="3" max="3" width="8.3828125" bestFit="1" customWidth="1"/>
    <col min="4" max="4" width="8.3828125" customWidth="1"/>
    <col min="5" max="5" width="5.3828125" bestFit="1" customWidth="1"/>
    <col min="6" max="10" width="25.23046875" customWidth="1"/>
    <col min="11" max="12" width="15.69140625" customWidth="1"/>
  </cols>
  <sheetData>
    <row r="1" spans="2:12" ht="18" customHeight="1" x14ac:dyDescent="0.4">
      <c r="B1" s="3"/>
      <c r="C1" s="3"/>
      <c r="D1" s="16"/>
      <c r="E1" s="3"/>
      <c r="F1" s="3"/>
      <c r="G1" s="3"/>
      <c r="H1" s="3"/>
      <c r="I1" s="3"/>
      <c r="J1" s="3"/>
      <c r="K1" s="3"/>
      <c r="L1" s="16"/>
    </row>
    <row r="2" spans="2:12" ht="15.75" customHeight="1" x14ac:dyDescent="0.4">
      <c r="B2" s="142" t="s">
        <v>13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7.600000000000001" x14ac:dyDescent="0.4">
      <c r="B3" s="3"/>
      <c r="C3" s="3"/>
      <c r="D3" s="16"/>
      <c r="E3" s="3"/>
      <c r="F3" s="3"/>
      <c r="G3" s="3"/>
      <c r="H3" s="3"/>
      <c r="I3" s="3"/>
      <c r="J3" s="4"/>
      <c r="K3" s="4"/>
      <c r="L3" s="4"/>
    </row>
    <row r="4" spans="2:12" ht="18" customHeight="1" x14ac:dyDescent="0.4">
      <c r="B4" s="142" t="s">
        <v>59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2" ht="15.75" customHeight="1" x14ac:dyDescent="0.4">
      <c r="B5" s="142" t="s">
        <v>44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2:12" ht="17.600000000000001" x14ac:dyDescent="0.4">
      <c r="B6" s="3"/>
      <c r="C6" s="3"/>
      <c r="D6" s="16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4">
      <c r="B7" s="166" t="s">
        <v>8</v>
      </c>
      <c r="C7" s="167"/>
      <c r="D7" s="167"/>
      <c r="E7" s="167"/>
      <c r="F7" s="168"/>
      <c r="G7" s="40" t="s">
        <v>255</v>
      </c>
      <c r="H7" s="40" t="s">
        <v>57</v>
      </c>
      <c r="I7" s="40" t="s">
        <v>54</v>
      </c>
      <c r="J7" s="40" t="s">
        <v>256</v>
      </c>
      <c r="K7" s="40" t="s">
        <v>25</v>
      </c>
      <c r="L7" s="40" t="s">
        <v>55</v>
      </c>
    </row>
    <row r="8" spans="2:12" x14ac:dyDescent="0.4">
      <c r="B8" s="166">
        <v>1</v>
      </c>
      <c r="C8" s="167"/>
      <c r="D8" s="167"/>
      <c r="E8" s="167"/>
      <c r="F8" s="168"/>
      <c r="G8" s="41">
        <v>2</v>
      </c>
      <c r="H8" s="41">
        <v>3</v>
      </c>
      <c r="I8" s="41">
        <v>4</v>
      </c>
      <c r="J8" s="41">
        <v>5</v>
      </c>
      <c r="K8" s="41" t="s">
        <v>39</v>
      </c>
      <c r="L8" s="41" t="s">
        <v>40</v>
      </c>
    </row>
    <row r="9" spans="2:12" ht="24.9" x14ac:dyDescent="0.4">
      <c r="B9" s="8">
        <v>8</v>
      </c>
      <c r="C9" s="8"/>
      <c r="D9" s="8"/>
      <c r="E9" s="8"/>
      <c r="F9" s="8" t="s">
        <v>10</v>
      </c>
      <c r="G9" s="53">
        <f>G10</f>
        <v>22803.11</v>
      </c>
      <c r="H9" s="53">
        <f t="shared" ref="H9:I11" si="0">H10</f>
        <v>0</v>
      </c>
      <c r="I9" s="53">
        <f t="shared" si="0"/>
        <v>0</v>
      </c>
      <c r="J9" s="53">
        <f>J10</f>
        <v>0</v>
      </c>
      <c r="K9" s="75">
        <f>J9/G9</f>
        <v>0</v>
      </c>
      <c r="L9" s="75">
        <v>0</v>
      </c>
    </row>
    <row r="10" spans="2:12" ht="24.9" x14ac:dyDescent="0.4">
      <c r="B10" s="8"/>
      <c r="C10" s="13">
        <v>83</v>
      </c>
      <c r="D10" s="13"/>
      <c r="E10" s="13"/>
      <c r="F10" s="13" t="s">
        <v>155</v>
      </c>
      <c r="G10" s="53">
        <f>G11</f>
        <v>22803.11</v>
      </c>
      <c r="H10" s="53">
        <f t="shared" si="0"/>
        <v>0</v>
      </c>
      <c r="I10" s="53">
        <f t="shared" si="0"/>
        <v>0</v>
      </c>
      <c r="J10" s="53">
        <f t="shared" ref="J10:J11" si="1">J11</f>
        <v>0</v>
      </c>
      <c r="K10" s="75">
        <f t="shared" ref="K10:K12" si="2">J10/G10</f>
        <v>0</v>
      </c>
      <c r="L10" s="75">
        <v>0</v>
      </c>
    </row>
    <row r="11" spans="2:12" ht="49.75" x14ac:dyDescent="0.4">
      <c r="B11" s="9"/>
      <c r="C11" s="9"/>
      <c r="D11" s="9">
        <v>833</v>
      </c>
      <c r="E11" s="9"/>
      <c r="F11" s="25" t="s">
        <v>156</v>
      </c>
      <c r="G11" s="53">
        <f>G12</f>
        <v>22803.11</v>
      </c>
      <c r="H11" s="53">
        <f t="shared" si="0"/>
        <v>0</v>
      </c>
      <c r="I11" s="53">
        <f t="shared" si="0"/>
        <v>0</v>
      </c>
      <c r="J11" s="53">
        <f t="shared" si="1"/>
        <v>0</v>
      </c>
      <c r="K11" s="75">
        <f t="shared" si="2"/>
        <v>0</v>
      </c>
      <c r="L11" s="75">
        <v>0</v>
      </c>
    </row>
    <row r="12" spans="2:12" ht="49.75" x14ac:dyDescent="0.4">
      <c r="B12" s="9"/>
      <c r="C12" s="9"/>
      <c r="D12" s="9"/>
      <c r="E12" s="9">
        <v>8331</v>
      </c>
      <c r="F12" s="25" t="s">
        <v>157</v>
      </c>
      <c r="G12" s="53">
        <v>22803.11</v>
      </c>
      <c r="H12" s="53">
        <v>0</v>
      </c>
      <c r="I12" s="53">
        <v>0</v>
      </c>
      <c r="J12" s="54">
        <v>0</v>
      </c>
      <c r="K12" s="75">
        <f t="shared" si="2"/>
        <v>0</v>
      </c>
      <c r="L12" s="75">
        <v>0</v>
      </c>
    </row>
    <row r="13" spans="2:12" x14ac:dyDescent="0.4">
      <c r="B13" s="9"/>
      <c r="C13" s="9"/>
      <c r="D13" s="9"/>
      <c r="E13" s="10"/>
      <c r="F13" s="14"/>
      <c r="G13" s="53"/>
      <c r="H13" s="53"/>
      <c r="I13" s="53"/>
      <c r="J13" s="54"/>
      <c r="K13" s="75"/>
      <c r="L13" s="75"/>
    </row>
    <row r="14" spans="2:12" ht="24.9" x14ac:dyDescent="0.4">
      <c r="B14" s="11">
        <v>5</v>
      </c>
      <c r="C14" s="12"/>
      <c r="D14" s="12"/>
      <c r="E14" s="12"/>
      <c r="F14" s="17" t="s">
        <v>11</v>
      </c>
      <c r="G14" s="53">
        <f>G15</f>
        <v>0</v>
      </c>
      <c r="H14" s="53">
        <f t="shared" ref="H14:J16" si="3">H15</f>
        <v>0</v>
      </c>
      <c r="I14" s="53">
        <f t="shared" si="3"/>
        <v>0</v>
      </c>
      <c r="J14" s="53">
        <f t="shared" si="3"/>
        <v>0</v>
      </c>
      <c r="K14" s="75">
        <v>0</v>
      </c>
      <c r="L14" s="75">
        <v>0</v>
      </c>
    </row>
    <row r="15" spans="2:12" ht="24.9" x14ac:dyDescent="0.4">
      <c r="B15" s="13"/>
      <c r="C15" s="13">
        <v>54</v>
      </c>
      <c r="D15" s="13"/>
      <c r="E15" s="13"/>
      <c r="F15" s="18" t="s">
        <v>15</v>
      </c>
      <c r="G15" s="53">
        <f>G16</f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75">
        <v>0</v>
      </c>
      <c r="L15" s="75">
        <v>0</v>
      </c>
    </row>
    <row r="16" spans="2:12" ht="62.15" x14ac:dyDescent="0.4">
      <c r="B16" s="13"/>
      <c r="C16" s="13"/>
      <c r="D16" s="13">
        <v>541</v>
      </c>
      <c r="E16" s="25"/>
      <c r="F16" s="25" t="s">
        <v>45</v>
      </c>
      <c r="G16" s="53">
        <f>G17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75">
        <v>0</v>
      </c>
      <c r="L16" s="75">
        <v>0</v>
      </c>
    </row>
    <row r="17" spans="2:12" ht="37.299999999999997" x14ac:dyDescent="0.4">
      <c r="B17" s="13"/>
      <c r="C17" s="13"/>
      <c r="D17" s="13"/>
      <c r="E17" s="25">
        <v>5413</v>
      </c>
      <c r="F17" s="25" t="s">
        <v>46</v>
      </c>
      <c r="G17" s="53">
        <v>0</v>
      </c>
      <c r="H17" s="53">
        <v>0</v>
      </c>
      <c r="I17" s="58">
        <v>0</v>
      </c>
      <c r="J17" s="54">
        <v>0</v>
      </c>
      <c r="K17" s="75">
        <v>0</v>
      </c>
      <c r="L17" s="75">
        <v>0</v>
      </c>
    </row>
    <row r="19" spans="2:12" x14ac:dyDescent="0.4">
      <c r="B19" s="32"/>
      <c r="C19" s="32"/>
      <c r="D19" s="32"/>
      <c r="E19" s="32"/>
      <c r="F19" s="32"/>
      <c r="G19" s="132">
        <f>G9-G14</f>
        <v>22803.11</v>
      </c>
      <c r="H19" s="132">
        <f t="shared" ref="H19:J19" si="4">H9-H14</f>
        <v>0</v>
      </c>
      <c r="I19" s="132">
        <f t="shared" si="4"/>
        <v>0</v>
      </c>
      <c r="J19" s="132">
        <f t="shared" si="4"/>
        <v>0</v>
      </c>
      <c r="K19" s="32"/>
      <c r="L19" s="32"/>
    </row>
    <row r="20" spans="2:12" x14ac:dyDescent="0.4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x14ac:dyDescent="0.4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13"/>
  <sheetViews>
    <sheetView workbookViewId="0">
      <selection activeCell="C9" sqref="C9"/>
    </sheetView>
  </sheetViews>
  <sheetFormatPr defaultRowHeight="14.6" x14ac:dyDescent="0.4"/>
  <cols>
    <col min="2" max="2" width="37.69140625" customWidth="1"/>
    <col min="3" max="6" width="25.23046875" customWidth="1"/>
    <col min="7" max="8" width="15.69140625" customWidth="1"/>
  </cols>
  <sheetData>
    <row r="1" spans="2:8" ht="17.600000000000001" x14ac:dyDescent="0.4">
      <c r="B1" s="16"/>
      <c r="C1" s="16"/>
      <c r="D1" s="16"/>
      <c r="E1" s="16"/>
      <c r="F1" s="4"/>
      <c r="G1" s="4"/>
      <c r="H1" s="4"/>
    </row>
    <row r="2" spans="2:8" ht="15.75" customHeight="1" x14ac:dyDescent="0.4">
      <c r="B2" s="142" t="s">
        <v>47</v>
      </c>
      <c r="C2" s="142"/>
      <c r="D2" s="142"/>
      <c r="E2" s="142"/>
      <c r="F2" s="142"/>
      <c r="G2" s="142"/>
      <c r="H2" s="142"/>
    </row>
    <row r="3" spans="2:8" ht="17.600000000000001" x14ac:dyDescent="0.4">
      <c r="B3" s="16"/>
      <c r="C3" s="16"/>
      <c r="D3" s="16"/>
      <c r="E3" s="16"/>
      <c r="F3" s="4"/>
      <c r="G3" s="4"/>
      <c r="H3" s="4"/>
    </row>
    <row r="4" spans="2:8" ht="24.9" x14ac:dyDescent="0.4">
      <c r="B4" s="37" t="s">
        <v>8</v>
      </c>
      <c r="C4" s="37" t="s">
        <v>250</v>
      </c>
      <c r="D4" s="37" t="s">
        <v>57</v>
      </c>
      <c r="E4" s="37" t="s">
        <v>54</v>
      </c>
      <c r="F4" s="37" t="s">
        <v>251</v>
      </c>
      <c r="G4" s="37" t="s">
        <v>25</v>
      </c>
      <c r="H4" s="37" t="s">
        <v>55</v>
      </c>
    </row>
    <row r="5" spans="2:8" x14ac:dyDescent="0.4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39</v>
      </c>
      <c r="H5" s="37" t="s">
        <v>40</v>
      </c>
    </row>
    <row r="6" spans="2:8" s="51" customFormat="1" x14ac:dyDescent="0.4">
      <c r="B6" s="8" t="s">
        <v>49</v>
      </c>
      <c r="C6" s="56">
        <f>C7</f>
        <v>22803.11</v>
      </c>
      <c r="D6" s="56">
        <f t="shared" ref="D6:F7" si="0">D7</f>
        <v>0</v>
      </c>
      <c r="E6" s="56">
        <f t="shared" si="0"/>
        <v>0</v>
      </c>
      <c r="F6" s="56">
        <f t="shared" si="0"/>
        <v>0</v>
      </c>
      <c r="G6" s="57">
        <f>F6/C6</f>
        <v>0</v>
      </c>
      <c r="H6" s="57">
        <v>0</v>
      </c>
    </row>
    <row r="7" spans="2:8" s="51" customFormat="1" x14ac:dyDescent="0.4">
      <c r="B7" s="8" t="s">
        <v>161</v>
      </c>
      <c r="C7" s="56">
        <f>C8</f>
        <v>22803.11</v>
      </c>
      <c r="D7" s="56">
        <f t="shared" si="0"/>
        <v>0</v>
      </c>
      <c r="E7" s="56">
        <f t="shared" si="0"/>
        <v>0</v>
      </c>
      <c r="F7" s="56">
        <f t="shared" si="0"/>
        <v>0</v>
      </c>
      <c r="G7" s="57">
        <f t="shared" ref="G7:G8" si="1">F7/C7</f>
        <v>0</v>
      </c>
      <c r="H7" s="57">
        <v>0</v>
      </c>
    </row>
    <row r="8" spans="2:8" x14ac:dyDescent="0.4">
      <c r="B8" s="24" t="s">
        <v>162</v>
      </c>
      <c r="C8" s="53">
        <v>22803.11</v>
      </c>
      <c r="D8" s="53">
        <v>0</v>
      </c>
      <c r="E8" s="58">
        <v>0</v>
      </c>
      <c r="F8" s="54">
        <v>0</v>
      </c>
      <c r="G8" s="84">
        <f t="shared" si="1"/>
        <v>0</v>
      </c>
      <c r="H8" s="84">
        <v>0</v>
      </c>
    </row>
    <row r="9" spans="2:8" s="51" customFormat="1" ht="15.75" customHeight="1" x14ac:dyDescent="0.4">
      <c r="B9" s="8" t="s">
        <v>50</v>
      </c>
      <c r="C9" s="56">
        <f>C10</f>
        <v>0</v>
      </c>
      <c r="D9" s="56">
        <f t="shared" ref="D9:F10" si="2">D10</f>
        <v>0</v>
      </c>
      <c r="E9" s="56">
        <f t="shared" si="2"/>
        <v>0</v>
      </c>
      <c r="F9" s="56">
        <f t="shared" si="2"/>
        <v>0</v>
      </c>
      <c r="G9" s="57">
        <v>0</v>
      </c>
      <c r="H9" s="57">
        <v>0</v>
      </c>
    </row>
    <row r="10" spans="2:8" s="51" customFormat="1" x14ac:dyDescent="0.4">
      <c r="B10" s="8" t="s">
        <v>161</v>
      </c>
      <c r="C10" s="56">
        <f>C11</f>
        <v>0</v>
      </c>
      <c r="D10" s="56">
        <f t="shared" si="2"/>
        <v>0</v>
      </c>
      <c r="E10" s="56">
        <f t="shared" si="2"/>
        <v>0</v>
      </c>
      <c r="F10" s="56">
        <f t="shared" si="2"/>
        <v>0</v>
      </c>
      <c r="G10" s="57">
        <v>0</v>
      </c>
      <c r="H10" s="57">
        <v>0</v>
      </c>
    </row>
    <row r="11" spans="2:8" x14ac:dyDescent="0.4">
      <c r="B11" s="24" t="s">
        <v>162</v>
      </c>
      <c r="C11" s="53">
        <v>0</v>
      </c>
      <c r="D11" s="53">
        <v>0</v>
      </c>
      <c r="E11" s="58">
        <v>0</v>
      </c>
      <c r="F11" s="54">
        <v>0</v>
      </c>
      <c r="G11" s="84">
        <v>0</v>
      </c>
      <c r="H11" s="84">
        <v>0</v>
      </c>
    </row>
    <row r="13" spans="2:8" x14ac:dyDescent="0.4">
      <c r="B13" s="44"/>
      <c r="C13" s="44"/>
      <c r="D13" s="44"/>
      <c r="E13" s="44"/>
      <c r="F13" s="44"/>
      <c r="G13" s="44"/>
      <c r="H13" s="4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306"/>
  <sheetViews>
    <sheetView zoomScaleNormal="100" workbookViewId="0">
      <selection activeCell="F290" sqref="F290"/>
    </sheetView>
  </sheetViews>
  <sheetFormatPr defaultRowHeight="14.6" x14ac:dyDescent="0.4"/>
  <cols>
    <col min="2" max="2" width="25.3828125" style="63" customWidth="1"/>
    <col min="3" max="3" width="62.23046875" style="63" customWidth="1"/>
    <col min="4" max="4" width="24.23046875" style="63" customWidth="1"/>
    <col min="5" max="6" width="24.23046875" style="107" customWidth="1"/>
    <col min="7" max="7" width="15.69140625" style="114" customWidth="1"/>
    <col min="8" max="8" width="24.23046875" customWidth="1"/>
  </cols>
  <sheetData>
    <row r="1" spans="2:18" x14ac:dyDescent="0.4">
      <c r="B1" s="59"/>
      <c r="C1" s="59"/>
      <c r="D1" s="59"/>
      <c r="E1" s="103"/>
      <c r="F1" s="103"/>
      <c r="G1" s="108"/>
      <c r="H1" s="4"/>
    </row>
    <row r="2" spans="2:18" ht="18" customHeight="1" x14ac:dyDescent="0.45">
      <c r="B2" s="169" t="s">
        <v>12</v>
      </c>
      <c r="C2" s="169"/>
      <c r="D2" s="169"/>
      <c r="E2" s="169"/>
      <c r="F2" s="169"/>
      <c r="G2" s="169"/>
      <c r="H2" s="26"/>
    </row>
    <row r="3" spans="2:18" x14ac:dyDescent="0.4">
      <c r="B3" s="92"/>
      <c r="C3" s="92"/>
      <c r="D3" s="92"/>
      <c r="E3" s="104"/>
      <c r="F3" s="104"/>
      <c r="G3" s="109"/>
      <c r="H3" s="4"/>
    </row>
    <row r="4" spans="2:18" ht="15.45" x14ac:dyDescent="0.4">
      <c r="B4" s="169" t="s">
        <v>61</v>
      </c>
      <c r="C4" s="169"/>
      <c r="D4" s="169"/>
      <c r="E4" s="169"/>
      <c r="F4" s="169"/>
      <c r="G4" s="169"/>
    </row>
    <row r="5" spans="2:18" x14ac:dyDescent="0.4">
      <c r="B5" s="59"/>
      <c r="C5" s="59"/>
      <c r="D5" s="59"/>
      <c r="E5" s="103"/>
      <c r="F5" s="103"/>
      <c r="G5" s="108"/>
    </row>
    <row r="6" spans="2:18" ht="24.9" x14ac:dyDescent="0.4">
      <c r="B6" s="170"/>
      <c r="C6" s="170"/>
      <c r="D6" s="37" t="s">
        <v>57</v>
      </c>
      <c r="E6" s="105" t="s">
        <v>54</v>
      </c>
      <c r="F6" s="105" t="s">
        <v>258</v>
      </c>
      <c r="G6" s="110" t="s">
        <v>55</v>
      </c>
    </row>
    <row r="7" spans="2:18" s="42" customFormat="1" ht="12.45" x14ac:dyDescent="0.3">
      <c r="B7" s="170"/>
      <c r="C7" s="170"/>
      <c r="D7" s="37">
        <v>2</v>
      </c>
      <c r="E7" s="37">
        <v>3</v>
      </c>
      <c r="F7" s="37">
        <v>4</v>
      </c>
      <c r="G7" s="110" t="s">
        <v>48</v>
      </c>
    </row>
    <row r="8" spans="2:18" s="94" customFormat="1" ht="30" customHeight="1" x14ac:dyDescent="0.4">
      <c r="B8" s="86">
        <v>23665</v>
      </c>
      <c r="C8" s="86" t="s">
        <v>169</v>
      </c>
      <c r="D8" s="93">
        <f>D9</f>
        <v>12588196</v>
      </c>
      <c r="E8" s="93">
        <f t="shared" ref="E8:F8" si="0">E9</f>
        <v>11960060</v>
      </c>
      <c r="F8" s="93">
        <f t="shared" si="0"/>
        <v>10495020.139999999</v>
      </c>
      <c r="G8" s="111">
        <f>F8/E8</f>
        <v>0.87750564294827937</v>
      </c>
    </row>
    <row r="9" spans="2:18" s="94" customFormat="1" ht="30" customHeight="1" x14ac:dyDescent="0.4">
      <c r="B9" s="86">
        <v>3803</v>
      </c>
      <c r="C9" s="87" t="s">
        <v>170</v>
      </c>
      <c r="D9" s="93">
        <f>D10+D53+D168+D175+D188+D248+D271</f>
        <v>12588196</v>
      </c>
      <c r="E9" s="93">
        <f>E10+E53+E168+E175+E188+E248+E271</f>
        <v>11960060</v>
      </c>
      <c r="F9" s="93">
        <f>F10+F53+F168+F175+F188+F248+F271</f>
        <v>10495020.139999999</v>
      </c>
      <c r="G9" s="111">
        <f t="shared" ref="G9:G72" si="1">F9/E9</f>
        <v>0.87750564294827937</v>
      </c>
    </row>
    <row r="10" spans="2:18" s="94" customFormat="1" ht="24.9" x14ac:dyDescent="0.4">
      <c r="B10" s="86" t="s">
        <v>171</v>
      </c>
      <c r="C10" s="87" t="s">
        <v>172</v>
      </c>
      <c r="D10" s="93">
        <f>D11</f>
        <v>6530754</v>
      </c>
      <c r="E10" s="93">
        <f t="shared" ref="E10:F10" si="2">E11</f>
        <v>5952576</v>
      </c>
      <c r="F10" s="93">
        <f t="shared" si="2"/>
        <v>5893740.5100000007</v>
      </c>
      <c r="G10" s="111">
        <f t="shared" si="1"/>
        <v>0.99011596156017168</v>
      </c>
    </row>
    <row r="11" spans="2:18" ht="14.7" customHeight="1" x14ac:dyDescent="0.4">
      <c r="B11" s="91" t="s">
        <v>197</v>
      </c>
      <c r="C11" s="61" t="s">
        <v>229</v>
      </c>
      <c r="D11" s="60">
        <f>D12</f>
        <v>6530754</v>
      </c>
      <c r="E11" s="60">
        <f t="shared" ref="E11:F11" si="3">E12</f>
        <v>5952576</v>
      </c>
      <c r="F11" s="60">
        <f t="shared" si="3"/>
        <v>5893740.5100000007</v>
      </c>
      <c r="G11" s="68">
        <f t="shared" si="1"/>
        <v>0.99011596156017168</v>
      </c>
    </row>
    <row r="12" spans="2:18" s="51" customFormat="1" ht="14.7" customHeight="1" x14ac:dyDescent="0.4">
      <c r="B12" s="85" t="s">
        <v>174</v>
      </c>
      <c r="C12" s="86" t="s">
        <v>173</v>
      </c>
      <c r="D12" s="56">
        <f>D13+D20+D47+D50</f>
        <v>6530754</v>
      </c>
      <c r="E12" s="56">
        <f t="shared" ref="E12:F12" si="4">E13+E20+E47+E50</f>
        <v>5952576</v>
      </c>
      <c r="F12" s="56">
        <f t="shared" si="4"/>
        <v>5893740.5100000007</v>
      </c>
      <c r="G12" s="112">
        <f t="shared" si="1"/>
        <v>0.99011596156017168</v>
      </c>
    </row>
    <row r="13" spans="2:18" ht="14.7" customHeight="1" x14ac:dyDescent="0.4">
      <c r="B13" s="88" t="s">
        <v>175</v>
      </c>
      <c r="C13" s="45" t="s">
        <v>5</v>
      </c>
      <c r="D13" s="53">
        <f>D14+D16+D18</f>
        <v>4689415</v>
      </c>
      <c r="E13" s="53">
        <f t="shared" ref="E13:F13" si="5">E14+E16+E18</f>
        <v>4410484</v>
      </c>
      <c r="F13" s="53">
        <f t="shared" si="5"/>
        <v>4403310.29</v>
      </c>
      <c r="G13" s="66">
        <f t="shared" si="1"/>
        <v>0.99837348690075733</v>
      </c>
      <c r="K13" s="142"/>
      <c r="L13" s="142"/>
      <c r="M13" s="142"/>
      <c r="N13" s="142"/>
      <c r="O13" s="142"/>
      <c r="P13" s="142"/>
      <c r="Q13" s="142"/>
      <c r="R13" s="142"/>
    </row>
    <row r="14" spans="2:18" ht="14.7" customHeight="1" x14ac:dyDescent="0.4">
      <c r="B14" s="89" t="s">
        <v>176</v>
      </c>
      <c r="C14" s="45" t="s">
        <v>35</v>
      </c>
      <c r="D14" s="53">
        <f>D15</f>
        <v>3945918</v>
      </c>
      <c r="E14" s="53">
        <f t="shared" ref="E14:F14" si="6">E15</f>
        <v>3707368</v>
      </c>
      <c r="F14" s="53">
        <f t="shared" si="6"/>
        <v>3707367.04</v>
      </c>
      <c r="G14" s="66">
        <f t="shared" si="1"/>
        <v>0.99999974105618861</v>
      </c>
      <c r="K14" s="3"/>
      <c r="L14" s="3"/>
      <c r="M14" s="3"/>
      <c r="N14" s="3"/>
      <c r="O14" s="3"/>
      <c r="P14" s="3"/>
      <c r="Q14" s="3"/>
      <c r="R14" s="4"/>
    </row>
    <row r="15" spans="2:18" ht="14.7" customHeight="1" x14ac:dyDescent="0.4">
      <c r="B15" s="90" t="s">
        <v>177</v>
      </c>
      <c r="C15" s="45" t="s">
        <v>36</v>
      </c>
      <c r="D15" s="53">
        <v>3945918</v>
      </c>
      <c r="E15" s="53">
        <v>3707368</v>
      </c>
      <c r="F15" s="53">
        <v>3707367.04</v>
      </c>
      <c r="G15" s="66">
        <f t="shared" si="1"/>
        <v>0.99999974105618861</v>
      </c>
      <c r="K15" s="169"/>
      <c r="L15" s="169"/>
      <c r="M15" s="169"/>
      <c r="N15" s="169"/>
      <c r="O15" s="169"/>
      <c r="P15" s="169"/>
      <c r="Q15" s="169"/>
      <c r="R15" s="169"/>
    </row>
    <row r="16" spans="2:18" ht="14.7" customHeight="1" x14ac:dyDescent="0.4">
      <c r="B16" s="89" t="s">
        <v>178</v>
      </c>
      <c r="C16" s="48" t="s">
        <v>68</v>
      </c>
      <c r="D16" s="53">
        <f>D17</f>
        <v>142723</v>
      </c>
      <c r="E16" s="53">
        <f t="shared" ref="E16:F16" si="7">E17</f>
        <v>142723</v>
      </c>
      <c r="F16" s="53">
        <f t="shared" si="7"/>
        <v>135551.07</v>
      </c>
      <c r="G16" s="66">
        <f t="shared" si="1"/>
        <v>0.94974930459701667</v>
      </c>
    </row>
    <row r="17" spans="2:7" ht="14.7" customHeight="1" x14ac:dyDescent="0.4">
      <c r="B17" s="90" t="s">
        <v>179</v>
      </c>
      <c r="C17" s="48" t="s">
        <v>68</v>
      </c>
      <c r="D17" s="53">
        <v>142723</v>
      </c>
      <c r="E17" s="53">
        <v>142723</v>
      </c>
      <c r="F17" s="53">
        <v>135551.07</v>
      </c>
      <c r="G17" s="66">
        <f t="shared" si="1"/>
        <v>0.94974930459701667</v>
      </c>
    </row>
    <row r="18" spans="2:7" ht="14.7" customHeight="1" x14ac:dyDescent="0.4">
      <c r="B18" s="89" t="s">
        <v>180</v>
      </c>
      <c r="C18" s="48" t="s">
        <v>69</v>
      </c>
      <c r="D18" s="53">
        <f>D19</f>
        <v>600774</v>
      </c>
      <c r="E18" s="53">
        <f t="shared" ref="E18:F18" si="8">E19</f>
        <v>560393</v>
      </c>
      <c r="F18" s="53">
        <f t="shared" si="8"/>
        <v>560392.18000000005</v>
      </c>
      <c r="G18" s="66">
        <f t="shared" si="1"/>
        <v>0.99999853674117989</v>
      </c>
    </row>
    <row r="19" spans="2:7" ht="14.7" customHeight="1" x14ac:dyDescent="0.4">
      <c r="B19" s="90" t="s">
        <v>181</v>
      </c>
      <c r="C19" s="45" t="s">
        <v>70</v>
      </c>
      <c r="D19" s="53">
        <v>600774</v>
      </c>
      <c r="E19" s="53">
        <v>560393</v>
      </c>
      <c r="F19" s="53">
        <v>560392.18000000005</v>
      </c>
      <c r="G19" s="66">
        <f t="shared" si="1"/>
        <v>0.99999853674117989</v>
      </c>
    </row>
    <row r="20" spans="2:7" ht="14.7" customHeight="1" x14ac:dyDescent="0.4">
      <c r="B20" s="88" t="s">
        <v>182</v>
      </c>
      <c r="C20" s="45" t="s">
        <v>14</v>
      </c>
      <c r="D20" s="53">
        <f>D21+D25+D30+D40</f>
        <v>1824370</v>
      </c>
      <c r="E20" s="53">
        <f t="shared" ref="E20:F20" si="9">E21+E25+E30+E40</f>
        <v>1535831</v>
      </c>
      <c r="F20" s="53">
        <f t="shared" si="9"/>
        <v>1484234.78</v>
      </c>
      <c r="G20" s="66">
        <f t="shared" si="1"/>
        <v>0.96640501461423822</v>
      </c>
    </row>
    <row r="21" spans="2:7" ht="14.7" customHeight="1" x14ac:dyDescent="0.4">
      <c r="B21" s="89" t="s">
        <v>183</v>
      </c>
      <c r="C21" s="45" t="s">
        <v>37</v>
      </c>
      <c r="D21" s="53">
        <f>SUM(D22:D24)</f>
        <v>172385</v>
      </c>
      <c r="E21" s="53">
        <f t="shared" ref="E21:F21" si="10">SUM(E22:E24)</f>
        <v>149051</v>
      </c>
      <c r="F21" s="53">
        <f t="shared" si="10"/>
        <v>146906.02000000002</v>
      </c>
      <c r="G21" s="66">
        <f t="shared" si="1"/>
        <v>0.98560908682263126</v>
      </c>
    </row>
    <row r="22" spans="2:7" ht="14.7" customHeight="1" x14ac:dyDescent="0.4">
      <c r="B22" s="90" t="s">
        <v>184</v>
      </c>
      <c r="C22" s="61" t="s">
        <v>38</v>
      </c>
      <c r="D22" s="60">
        <v>21081</v>
      </c>
      <c r="E22" s="60">
        <v>11081</v>
      </c>
      <c r="F22" s="60">
        <v>9523.27</v>
      </c>
      <c r="G22" s="68">
        <f t="shared" si="1"/>
        <v>0.85942333724393105</v>
      </c>
    </row>
    <row r="23" spans="2:7" ht="14.7" customHeight="1" x14ac:dyDescent="0.4">
      <c r="B23" s="90" t="s">
        <v>185</v>
      </c>
      <c r="C23" s="61" t="s">
        <v>72</v>
      </c>
      <c r="D23" s="60">
        <v>132723</v>
      </c>
      <c r="E23" s="60">
        <v>120723</v>
      </c>
      <c r="F23" s="60">
        <v>120136.44</v>
      </c>
      <c r="G23" s="68">
        <f t="shared" si="1"/>
        <v>0.99514127382520312</v>
      </c>
    </row>
    <row r="24" spans="2:7" ht="14.7" customHeight="1" x14ac:dyDescent="0.4">
      <c r="B24" s="90" t="s">
        <v>186</v>
      </c>
      <c r="C24" s="79" t="s">
        <v>73</v>
      </c>
      <c r="D24" s="78">
        <v>18581</v>
      </c>
      <c r="E24" s="78">
        <v>17247</v>
      </c>
      <c r="F24" s="78">
        <v>17246.310000000001</v>
      </c>
      <c r="G24" s="80">
        <f t="shared" si="1"/>
        <v>0.99995999304226835</v>
      </c>
    </row>
    <row r="25" spans="2:7" ht="14.7" customHeight="1" x14ac:dyDescent="0.4">
      <c r="B25" s="89" t="s">
        <v>187</v>
      </c>
      <c r="C25" s="79" t="s">
        <v>74</v>
      </c>
      <c r="D25" s="78">
        <f>SUM(D26:D29)</f>
        <v>533752</v>
      </c>
      <c r="E25" s="78">
        <f t="shared" ref="E25:F25" si="11">SUM(E26:E29)</f>
        <v>479511</v>
      </c>
      <c r="F25" s="78">
        <f t="shared" si="11"/>
        <v>473149.16</v>
      </c>
      <c r="G25" s="80">
        <f t="shared" si="1"/>
        <v>0.98673265055441894</v>
      </c>
    </row>
    <row r="26" spans="2:7" ht="14.7" customHeight="1" x14ac:dyDescent="0.4">
      <c r="B26" s="90" t="s">
        <v>75</v>
      </c>
      <c r="C26" s="79" t="s">
        <v>76</v>
      </c>
      <c r="D26" s="78">
        <v>21236</v>
      </c>
      <c r="E26" s="78">
        <v>21236</v>
      </c>
      <c r="F26" s="78">
        <v>21145.24</v>
      </c>
      <c r="G26" s="80">
        <f t="shared" si="1"/>
        <v>0.99572612544735362</v>
      </c>
    </row>
    <row r="27" spans="2:7" ht="14.7" customHeight="1" x14ac:dyDescent="0.4">
      <c r="B27" s="90" t="s">
        <v>77</v>
      </c>
      <c r="C27" s="61" t="s">
        <v>78</v>
      </c>
      <c r="D27" s="60">
        <v>464072</v>
      </c>
      <c r="E27" s="60">
        <v>429831</v>
      </c>
      <c r="F27" s="60">
        <v>424366.53</v>
      </c>
      <c r="G27" s="68">
        <f t="shared" si="1"/>
        <v>0.98728693370185028</v>
      </c>
    </row>
    <row r="28" spans="2:7" ht="14.7" customHeight="1" x14ac:dyDescent="0.4">
      <c r="B28" s="90" t="s">
        <v>79</v>
      </c>
      <c r="C28" s="61" t="s">
        <v>80</v>
      </c>
      <c r="D28" s="60">
        <v>47117</v>
      </c>
      <c r="E28" s="60">
        <v>27117</v>
      </c>
      <c r="F28" s="60">
        <v>26005.42</v>
      </c>
      <c r="G28" s="68">
        <f t="shared" si="1"/>
        <v>0.95900800236014305</v>
      </c>
    </row>
    <row r="29" spans="2:7" ht="14.7" customHeight="1" x14ac:dyDescent="0.4">
      <c r="B29" s="90" t="s">
        <v>81</v>
      </c>
      <c r="C29" s="61" t="s">
        <v>82</v>
      </c>
      <c r="D29" s="60">
        <v>1327</v>
      </c>
      <c r="E29" s="60">
        <v>1327</v>
      </c>
      <c r="F29" s="60">
        <v>1631.97</v>
      </c>
      <c r="G29" s="68">
        <f t="shared" si="1"/>
        <v>1.2298191409193671</v>
      </c>
    </row>
    <row r="30" spans="2:7" ht="14.7" customHeight="1" x14ac:dyDescent="0.4">
      <c r="B30" s="89" t="s">
        <v>188</v>
      </c>
      <c r="C30" s="61" t="s">
        <v>83</v>
      </c>
      <c r="D30" s="60">
        <f>SUM(D31:D39)</f>
        <v>1051394</v>
      </c>
      <c r="E30" s="60">
        <f t="shared" ref="E30:F30" si="12">SUM(E31:E39)</f>
        <v>841588</v>
      </c>
      <c r="F30" s="60">
        <f t="shared" si="12"/>
        <v>799979.75</v>
      </c>
      <c r="G30" s="68">
        <f t="shared" si="1"/>
        <v>0.95055983450334369</v>
      </c>
    </row>
    <row r="31" spans="2:7" ht="14.7" customHeight="1" x14ac:dyDescent="0.4">
      <c r="B31" s="90" t="s">
        <v>84</v>
      </c>
      <c r="C31" s="61" t="s">
        <v>85</v>
      </c>
      <c r="D31" s="60">
        <v>36499</v>
      </c>
      <c r="E31" s="60">
        <v>28499</v>
      </c>
      <c r="F31" s="60">
        <v>27973.02</v>
      </c>
      <c r="G31" s="68">
        <f t="shared" si="1"/>
        <v>0.98154391382153761</v>
      </c>
    </row>
    <row r="32" spans="2:7" ht="14.7" customHeight="1" x14ac:dyDescent="0.4">
      <c r="B32" s="90" t="s">
        <v>86</v>
      </c>
      <c r="C32" s="61" t="s">
        <v>87</v>
      </c>
      <c r="D32" s="60">
        <v>334896</v>
      </c>
      <c r="E32" s="60">
        <v>214896</v>
      </c>
      <c r="F32" s="60">
        <v>193164.3</v>
      </c>
      <c r="G32" s="68">
        <f t="shared" si="1"/>
        <v>0.89887340853249942</v>
      </c>
    </row>
    <row r="33" spans="2:7" ht="14.7" customHeight="1" x14ac:dyDescent="0.4">
      <c r="B33" s="90" t="s">
        <v>88</v>
      </c>
      <c r="C33" s="61" t="s">
        <v>89</v>
      </c>
      <c r="D33" s="60">
        <v>23226</v>
      </c>
      <c r="E33" s="60">
        <v>23226</v>
      </c>
      <c r="F33" s="60">
        <v>21590.19</v>
      </c>
      <c r="G33" s="68">
        <f t="shared" si="1"/>
        <v>0.92956987858434503</v>
      </c>
    </row>
    <row r="34" spans="2:7" ht="14.7" customHeight="1" x14ac:dyDescent="0.4">
      <c r="B34" s="90" t="s">
        <v>90</v>
      </c>
      <c r="C34" s="61" t="s">
        <v>91</v>
      </c>
      <c r="D34" s="60">
        <v>55080</v>
      </c>
      <c r="E34" s="60">
        <v>52580</v>
      </c>
      <c r="F34" s="60">
        <v>50008.85</v>
      </c>
      <c r="G34" s="68">
        <f t="shared" si="1"/>
        <v>0.95110022822365914</v>
      </c>
    </row>
    <row r="35" spans="2:7" ht="14.7" customHeight="1" x14ac:dyDescent="0.4">
      <c r="B35" s="90" t="s">
        <v>92</v>
      </c>
      <c r="C35" s="61" t="s">
        <v>93</v>
      </c>
      <c r="D35" s="60">
        <v>334461</v>
      </c>
      <c r="E35" s="60">
        <v>294461</v>
      </c>
      <c r="F35" s="60">
        <v>290408.46000000002</v>
      </c>
      <c r="G35" s="68">
        <f t="shared" si="1"/>
        <v>0.98623743042372347</v>
      </c>
    </row>
    <row r="36" spans="2:7" ht="14.7" customHeight="1" x14ac:dyDescent="0.4">
      <c r="B36" s="90" t="s">
        <v>94</v>
      </c>
      <c r="C36" s="61" t="s">
        <v>95</v>
      </c>
      <c r="D36" s="60">
        <v>10619</v>
      </c>
      <c r="E36" s="60">
        <v>7313</v>
      </c>
      <c r="F36" s="60">
        <v>7312.2</v>
      </c>
      <c r="G36" s="68">
        <f t="shared" si="1"/>
        <v>0.99989060577054556</v>
      </c>
    </row>
    <row r="37" spans="2:7" ht="14.7" customHeight="1" x14ac:dyDescent="0.4">
      <c r="B37" s="90" t="s">
        <v>96</v>
      </c>
      <c r="C37" s="61" t="s">
        <v>97</v>
      </c>
      <c r="D37" s="60">
        <v>58398</v>
      </c>
      <c r="E37" s="60">
        <v>53398</v>
      </c>
      <c r="F37" s="60">
        <v>52172.92</v>
      </c>
      <c r="G37" s="68">
        <f t="shared" si="1"/>
        <v>0.97705756769916474</v>
      </c>
    </row>
    <row r="38" spans="2:7" ht="14.7" customHeight="1" x14ac:dyDescent="0.4">
      <c r="B38" s="90" t="s">
        <v>98</v>
      </c>
      <c r="C38" s="61" t="s">
        <v>99</v>
      </c>
      <c r="D38" s="60">
        <v>18581</v>
      </c>
      <c r="E38" s="60">
        <v>7581</v>
      </c>
      <c r="F38" s="60">
        <v>7460.32</v>
      </c>
      <c r="G38" s="68">
        <f t="shared" si="1"/>
        <v>0.98408125577100647</v>
      </c>
    </row>
    <row r="39" spans="2:7" ht="14.7" customHeight="1" x14ac:dyDescent="0.4">
      <c r="B39" s="90" t="s">
        <v>100</v>
      </c>
      <c r="C39" s="61" t="s">
        <v>101</v>
      </c>
      <c r="D39" s="60">
        <v>179634</v>
      </c>
      <c r="E39" s="60">
        <v>159634</v>
      </c>
      <c r="F39" s="60">
        <v>149889.49</v>
      </c>
      <c r="G39" s="68">
        <f t="shared" si="1"/>
        <v>0.9389571770424846</v>
      </c>
    </row>
    <row r="40" spans="2:7" ht="14.7" customHeight="1" x14ac:dyDescent="0.4">
      <c r="B40" s="89" t="s">
        <v>189</v>
      </c>
      <c r="C40" s="61" t="s">
        <v>109</v>
      </c>
      <c r="D40" s="60">
        <f>SUM(D41:D46)</f>
        <v>66839</v>
      </c>
      <c r="E40" s="60">
        <f t="shared" ref="E40:F40" si="13">SUM(E41:E46)</f>
        <v>65681</v>
      </c>
      <c r="F40" s="60">
        <f t="shared" si="13"/>
        <v>64199.850000000006</v>
      </c>
      <c r="G40" s="68">
        <f t="shared" si="1"/>
        <v>0.97744933846926818</v>
      </c>
    </row>
    <row r="41" spans="2:7" ht="14.7" customHeight="1" x14ac:dyDescent="0.4">
      <c r="B41" s="90" t="s">
        <v>110</v>
      </c>
      <c r="C41" s="61" t="s">
        <v>103</v>
      </c>
      <c r="D41" s="60">
        <v>6636</v>
      </c>
      <c r="E41" s="60">
        <v>5478</v>
      </c>
      <c r="F41" s="60">
        <v>5478</v>
      </c>
      <c r="G41" s="68">
        <f t="shared" si="1"/>
        <v>1</v>
      </c>
    </row>
    <row r="42" spans="2:7" ht="14.7" customHeight="1" x14ac:dyDescent="0.4">
      <c r="B42" s="90" t="s">
        <v>111</v>
      </c>
      <c r="C42" s="61" t="s">
        <v>104</v>
      </c>
      <c r="D42" s="60">
        <v>2654</v>
      </c>
      <c r="E42" s="60">
        <v>2654</v>
      </c>
      <c r="F42" s="60">
        <v>1944.41</v>
      </c>
      <c r="G42" s="68">
        <f t="shared" si="1"/>
        <v>0.73263376036171823</v>
      </c>
    </row>
    <row r="43" spans="2:7" ht="14.7" customHeight="1" x14ac:dyDescent="0.4">
      <c r="B43" s="90" t="s">
        <v>112</v>
      </c>
      <c r="C43" s="61" t="s">
        <v>105</v>
      </c>
      <c r="D43" s="60">
        <v>514</v>
      </c>
      <c r="E43" s="60">
        <v>514</v>
      </c>
      <c r="F43" s="60">
        <v>0</v>
      </c>
      <c r="G43" s="68">
        <f t="shared" si="1"/>
        <v>0</v>
      </c>
    </row>
    <row r="44" spans="2:7" ht="14.7" customHeight="1" x14ac:dyDescent="0.4">
      <c r="B44" s="90" t="s">
        <v>113</v>
      </c>
      <c r="C44" s="61" t="s">
        <v>106</v>
      </c>
      <c r="D44" s="60">
        <v>46453</v>
      </c>
      <c r="E44" s="60">
        <v>46453</v>
      </c>
      <c r="F44" s="60">
        <v>45534.97</v>
      </c>
      <c r="G44" s="68">
        <f t="shared" si="1"/>
        <v>0.98023744429853832</v>
      </c>
    </row>
    <row r="45" spans="2:7" ht="14.7" customHeight="1" x14ac:dyDescent="0.4">
      <c r="B45" s="90" t="s">
        <v>114</v>
      </c>
      <c r="C45" s="61" t="s">
        <v>107</v>
      </c>
      <c r="D45" s="60">
        <v>8627</v>
      </c>
      <c r="E45" s="60">
        <v>8627</v>
      </c>
      <c r="F45" s="60">
        <v>8527.86</v>
      </c>
      <c r="G45" s="68">
        <f t="shared" si="1"/>
        <v>0.98850817201808283</v>
      </c>
    </row>
    <row r="46" spans="2:7" ht="14.7" customHeight="1" x14ac:dyDescent="0.4">
      <c r="B46" s="90" t="s">
        <v>116</v>
      </c>
      <c r="C46" s="61" t="s">
        <v>109</v>
      </c>
      <c r="D46" s="60">
        <v>1955</v>
      </c>
      <c r="E46" s="60">
        <v>1955</v>
      </c>
      <c r="F46" s="60">
        <v>2714.61</v>
      </c>
      <c r="G46" s="68">
        <f t="shared" si="1"/>
        <v>1.3885473145780052</v>
      </c>
    </row>
    <row r="47" spans="2:7" ht="14.7" customHeight="1" x14ac:dyDescent="0.4">
      <c r="B47" s="88" t="s">
        <v>190</v>
      </c>
      <c r="C47" s="61" t="s">
        <v>117</v>
      </c>
      <c r="D47" s="60">
        <f>D48</f>
        <v>65</v>
      </c>
      <c r="E47" s="60">
        <f t="shared" ref="E47:F47" si="14">E48</f>
        <v>65</v>
      </c>
      <c r="F47" s="60">
        <f t="shared" si="14"/>
        <v>0</v>
      </c>
      <c r="G47" s="68">
        <f t="shared" si="1"/>
        <v>0</v>
      </c>
    </row>
    <row r="48" spans="2:7" ht="14.7" customHeight="1" x14ac:dyDescent="0.4">
      <c r="B48" s="89" t="s">
        <v>191</v>
      </c>
      <c r="C48" s="61" t="s">
        <v>118</v>
      </c>
      <c r="D48" s="60">
        <f>D49</f>
        <v>65</v>
      </c>
      <c r="E48" s="60">
        <f t="shared" ref="E48:F48" si="15">E49</f>
        <v>65</v>
      </c>
      <c r="F48" s="60">
        <f t="shared" si="15"/>
        <v>0</v>
      </c>
      <c r="G48" s="68">
        <f t="shared" si="1"/>
        <v>0</v>
      </c>
    </row>
    <row r="49" spans="2:7" ht="14.7" customHeight="1" x14ac:dyDescent="0.4">
      <c r="B49" s="90" t="s">
        <v>192</v>
      </c>
      <c r="C49" s="61" t="s">
        <v>119</v>
      </c>
      <c r="D49" s="60">
        <v>65</v>
      </c>
      <c r="E49" s="60">
        <v>65</v>
      </c>
      <c r="F49" s="60">
        <v>0</v>
      </c>
      <c r="G49" s="68">
        <f t="shared" si="1"/>
        <v>0</v>
      </c>
    </row>
    <row r="50" spans="2:7" ht="14.7" customHeight="1" x14ac:dyDescent="0.4">
      <c r="B50" s="88" t="s">
        <v>193</v>
      </c>
      <c r="C50" s="61" t="s">
        <v>124</v>
      </c>
      <c r="D50" s="60">
        <f>D51</f>
        <v>16904</v>
      </c>
      <c r="E50" s="60">
        <f t="shared" ref="E50:F50" si="16">E51</f>
        <v>6196</v>
      </c>
      <c r="F50" s="60">
        <f t="shared" si="16"/>
        <v>6195.44</v>
      </c>
      <c r="G50" s="68">
        <f t="shared" si="1"/>
        <v>0.99990961910910259</v>
      </c>
    </row>
    <row r="51" spans="2:7" ht="14.7" customHeight="1" x14ac:dyDescent="0.4">
      <c r="B51" s="89" t="s">
        <v>194</v>
      </c>
      <c r="C51" s="61" t="s">
        <v>125</v>
      </c>
      <c r="D51" s="60">
        <f>D52</f>
        <v>16904</v>
      </c>
      <c r="E51" s="60">
        <f t="shared" ref="E51:F51" si="17">E52</f>
        <v>6196</v>
      </c>
      <c r="F51" s="60">
        <f t="shared" si="17"/>
        <v>6195.44</v>
      </c>
      <c r="G51" s="68">
        <f t="shared" si="1"/>
        <v>0.99990961910910259</v>
      </c>
    </row>
    <row r="52" spans="2:7" ht="14.7" customHeight="1" x14ac:dyDescent="0.4">
      <c r="B52" s="90" t="s">
        <v>195</v>
      </c>
      <c r="C52" s="61" t="s">
        <v>126</v>
      </c>
      <c r="D52" s="60">
        <v>16904</v>
      </c>
      <c r="E52" s="60">
        <v>6196</v>
      </c>
      <c r="F52" s="60">
        <v>6195.44</v>
      </c>
      <c r="G52" s="68">
        <f t="shared" si="1"/>
        <v>0.99990961910910259</v>
      </c>
    </row>
    <row r="53" spans="2:7" s="94" customFormat="1" ht="24.9" x14ac:dyDescent="0.4">
      <c r="B53" s="96" t="s">
        <v>196</v>
      </c>
      <c r="C53" s="97" t="s">
        <v>228</v>
      </c>
      <c r="D53" s="98">
        <f>D55+D105+D116+D141+D164</f>
        <v>2224788</v>
      </c>
      <c r="E53" s="98">
        <f>E55+E105+E116+E141+E164</f>
        <v>2224788</v>
      </c>
      <c r="F53" s="98">
        <f>F55+F105+F116+F141+F164</f>
        <v>1494502.97</v>
      </c>
      <c r="G53" s="113">
        <f t="shared" si="1"/>
        <v>0.67175073310355859</v>
      </c>
    </row>
    <row r="54" spans="2:7" ht="14.7" customHeight="1" x14ac:dyDescent="0.4">
      <c r="B54" s="91" t="s">
        <v>197</v>
      </c>
      <c r="C54" s="61" t="s">
        <v>229</v>
      </c>
      <c r="D54" s="60">
        <f>D55+D105+D116+D141+D164</f>
        <v>2224788</v>
      </c>
      <c r="E54" s="60">
        <f>E55+E105+E116+E141+E164</f>
        <v>2224788</v>
      </c>
      <c r="F54" s="60">
        <f>F55+F105+F116+F141+F164</f>
        <v>1494502.97</v>
      </c>
      <c r="G54" s="68">
        <f t="shared" si="1"/>
        <v>0.67175073310355859</v>
      </c>
    </row>
    <row r="55" spans="2:7" s="51" customFormat="1" ht="14.7" customHeight="1" x14ac:dyDescent="0.4">
      <c r="B55" s="85" t="s">
        <v>175</v>
      </c>
      <c r="C55" s="65" t="s">
        <v>230</v>
      </c>
      <c r="D55" s="64">
        <f>D56+D65+D93+D97+D100</f>
        <v>1161455</v>
      </c>
      <c r="E55" s="64">
        <f>E56+E65+E93+E97+E100</f>
        <v>1161455</v>
      </c>
      <c r="F55" s="64">
        <f>F56+F65+F93+F97+F100</f>
        <v>750618.36</v>
      </c>
      <c r="G55" s="76">
        <f t="shared" si="1"/>
        <v>0.64627416473302879</v>
      </c>
    </row>
    <row r="56" spans="2:7" ht="14.7" customHeight="1" x14ac:dyDescent="0.4">
      <c r="B56" s="88" t="s">
        <v>175</v>
      </c>
      <c r="C56" s="61" t="s">
        <v>5</v>
      </c>
      <c r="D56" s="60">
        <f>D57+D60+D62</f>
        <v>883887</v>
      </c>
      <c r="E56" s="60">
        <f t="shared" ref="E56:F56" si="18">E57+E60+E62</f>
        <v>883887</v>
      </c>
      <c r="F56" s="60">
        <f t="shared" si="18"/>
        <v>527887.74</v>
      </c>
      <c r="G56" s="68">
        <f t="shared" si="1"/>
        <v>0.59723442023697604</v>
      </c>
    </row>
    <row r="57" spans="2:7" ht="14.7" customHeight="1" x14ac:dyDescent="0.4">
      <c r="B57" s="89" t="s">
        <v>176</v>
      </c>
      <c r="C57" s="61" t="s">
        <v>35</v>
      </c>
      <c r="D57" s="60">
        <f>SUM(D58:D59)</f>
        <v>476877</v>
      </c>
      <c r="E57" s="60">
        <f t="shared" ref="E57:F57" si="19">SUM(E58:E59)</f>
        <v>476877</v>
      </c>
      <c r="F57" s="60">
        <f t="shared" si="19"/>
        <v>452319.20999999996</v>
      </c>
      <c r="G57" s="68">
        <f t="shared" si="1"/>
        <v>0.9485028843915726</v>
      </c>
    </row>
    <row r="58" spans="2:7" ht="14.7" customHeight="1" x14ac:dyDescent="0.4">
      <c r="B58" s="90" t="s">
        <v>177</v>
      </c>
      <c r="C58" s="61" t="s">
        <v>36</v>
      </c>
      <c r="D58" s="60">
        <v>462105</v>
      </c>
      <c r="E58" s="60">
        <v>462105</v>
      </c>
      <c r="F58" s="60">
        <v>435753.42</v>
      </c>
      <c r="G58" s="68">
        <f t="shared" si="1"/>
        <v>0.94297490830006159</v>
      </c>
    </row>
    <row r="59" spans="2:7" ht="14.7" customHeight="1" x14ac:dyDescent="0.4">
      <c r="B59" s="90" t="s">
        <v>198</v>
      </c>
      <c r="C59" s="61" t="s">
        <v>67</v>
      </c>
      <c r="D59" s="60">
        <v>14772</v>
      </c>
      <c r="E59" s="60">
        <v>14772</v>
      </c>
      <c r="F59" s="60">
        <v>16565.79</v>
      </c>
      <c r="G59" s="68">
        <f t="shared" si="1"/>
        <v>1.1214317627944761</v>
      </c>
    </row>
    <row r="60" spans="2:7" ht="14.7" customHeight="1" x14ac:dyDescent="0.4">
      <c r="B60" s="89" t="s">
        <v>178</v>
      </c>
      <c r="C60" s="61" t="s">
        <v>68</v>
      </c>
      <c r="D60" s="60">
        <f>D61</f>
        <v>261750</v>
      </c>
      <c r="E60" s="60">
        <f t="shared" ref="E60:F60" si="20">E61</f>
        <v>261750</v>
      </c>
      <c r="F60" s="60">
        <f t="shared" si="20"/>
        <v>8039.12</v>
      </c>
      <c r="G60" s="68">
        <f t="shared" si="1"/>
        <v>3.0712970391595033E-2</v>
      </c>
    </row>
    <row r="61" spans="2:7" ht="14.7" customHeight="1" x14ac:dyDescent="0.4">
      <c r="B61" s="90" t="s">
        <v>179</v>
      </c>
      <c r="C61" s="61" t="s">
        <v>68</v>
      </c>
      <c r="D61" s="60">
        <v>261750</v>
      </c>
      <c r="E61" s="60">
        <v>261750</v>
      </c>
      <c r="F61" s="60">
        <v>8039.12</v>
      </c>
      <c r="G61" s="68">
        <f t="shared" si="1"/>
        <v>3.0712970391595033E-2</v>
      </c>
    </row>
    <row r="62" spans="2:7" ht="14.7" customHeight="1" x14ac:dyDescent="0.4">
      <c r="B62" s="89" t="s">
        <v>180</v>
      </c>
      <c r="C62" s="61" t="s">
        <v>69</v>
      </c>
      <c r="D62" s="60">
        <f>SUM(D63:D64)</f>
        <v>145260</v>
      </c>
      <c r="E62" s="60">
        <f t="shared" ref="E62:F62" si="21">SUM(E63:E64)</f>
        <v>145260</v>
      </c>
      <c r="F62" s="60">
        <f t="shared" si="21"/>
        <v>67529.41</v>
      </c>
      <c r="G62" s="68">
        <f t="shared" si="1"/>
        <v>0.46488647941621924</v>
      </c>
    </row>
    <row r="63" spans="2:7" ht="14.7" customHeight="1" x14ac:dyDescent="0.4">
      <c r="B63" s="90" t="s">
        <v>181</v>
      </c>
      <c r="C63" s="61" t="s">
        <v>70</v>
      </c>
      <c r="D63" s="60">
        <v>145210</v>
      </c>
      <c r="E63" s="60">
        <v>145210</v>
      </c>
      <c r="F63" s="60">
        <v>67529.41</v>
      </c>
      <c r="G63" s="68">
        <f t="shared" si="1"/>
        <v>0.4650465532676813</v>
      </c>
    </row>
    <row r="64" spans="2:7" ht="14.7" customHeight="1" x14ac:dyDescent="0.4">
      <c r="B64" s="90" t="s">
        <v>199</v>
      </c>
      <c r="C64" s="61" t="s">
        <v>71</v>
      </c>
      <c r="D64" s="60">
        <v>50</v>
      </c>
      <c r="E64" s="60">
        <v>50</v>
      </c>
      <c r="F64" s="60">
        <v>0</v>
      </c>
      <c r="G64" s="68">
        <v>0</v>
      </c>
    </row>
    <row r="65" spans="2:7" ht="14.7" customHeight="1" x14ac:dyDescent="0.4">
      <c r="B65" s="88" t="s">
        <v>182</v>
      </c>
      <c r="C65" s="61" t="s">
        <v>14</v>
      </c>
      <c r="D65" s="60">
        <f>D66+D70+D76+D85+D87</f>
        <v>252253</v>
      </c>
      <c r="E65" s="60">
        <f>E66+E70+E76+E85+E87</f>
        <v>252253</v>
      </c>
      <c r="F65" s="60">
        <f>F66+F70+F76+F85+F87</f>
        <v>212798.36000000002</v>
      </c>
      <c r="G65" s="68">
        <f t="shared" si="1"/>
        <v>0.84359099792668479</v>
      </c>
    </row>
    <row r="66" spans="2:7" ht="14.7" customHeight="1" x14ac:dyDescent="0.4">
      <c r="B66" s="89" t="s">
        <v>183</v>
      </c>
      <c r="C66" s="61" t="s">
        <v>37</v>
      </c>
      <c r="D66" s="60">
        <f>SUM(D67:D69)</f>
        <v>46853</v>
      </c>
      <c r="E66" s="60">
        <f t="shared" ref="E66:F66" si="22">SUM(E67:E69)</f>
        <v>46853</v>
      </c>
      <c r="F66" s="60">
        <f t="shared" si="22"/>
        <v>34323.599999999999</v>
      </c>
      <c r="G66" s="68">
        <f t="shared" si="1"/>
        <v>0.73258062450643502</v>
      </c>
    </row>
    <row r="67" spans="2:7" ht="14.7" customHeight="1" x14ac:dyDescent="0.4">
      <c r="B67" s="90" t="s">
        <v>184</v>
      </c>
      <c r="C67" s="61" t="s">
        <v>38</v>
      </c>
      <c r="D67" s="60">
        <v>24954</v>
      </c>
      <c r="E67" s="60">
        <v>24954</v>
      </c>
      <c r="F67" s="60">
        <v>27038.11</v>
      </c>
      <c r="G67" s="68">
        <f t="shared" si="1"/>
        <v>1.0835180732547889</v>
      </c>
    </row>
    <row r="68" spans="2:7" ht="14.7" customHeight="1" x14ac:dyDescent="0.4">
      <c r="B68" s="90" t="s">
        <v>185</v>
      </c>
      <c r="C68" s="61" t="s">
        <v>72</v>
      </c>
      <c r="D68" s="60">
        <v>1991</v>
      </c>
      <c r="E68" s="60">
        <v>1991</v>
      </c>
      <c r="F68" s="60">
        <v>643.09</v>
      </c>
      <c r="G68" s="68">
        <f t="shared" si="1"/>
        <v>0.3229984932194877</v>
      </c>
    </row>
    <row r="69" spans="2:7" ht="14.7" customHeight="1" x14ac:dyDescent="0.4">
      <c r="B69" s="90" t="s">
        <v>186</v>
      </c>
      <c r="C69" s="61" t="s">
        <v>73</v>
      </c>
      <c r="D69" s="60">
        <v>19908</v>
      </c>
      <c r="E69" s="60">
        <v>19908</v>
      </c>
      <c r="F69" s="60">
        <v>6642.4</v>
      </c>
      <c r="G69" s="68">
        <f t="shared" si="1"/>
        <v>0.33365481213582476</v>
      </c>
    </row>
    <row r="70" spans="2:7" ht="14.7" customHeight="1" x14ac:dyDescent="0.4">
      <c r="B70" s="89" t="s">
        <v>187</v>
      </c>
      <c r="C70" s="61" t="s">
        <v>74</v>
      </c>
      <c r="D70" s="60">
        <f>SUM(D71:D75)</f>
        <v>27186</v>
      </c>
      <c r="E70" s="60">
        <f t="shared" ref="E70:F70" si="23">SUM(E71:E75)</f>
        <v>27186</v>
      </c>
      <c r="F70" s="60">
        <f t="shared" si="23"/>
        <v>17093.059999999998</v>
      </c>
      <c r="G70" s="68">
        <f t="shared" si="1"/>
        <v>0.62874494224968724</v>
      </c>
    </row>
    <row r="71" spans="2:7" ht="14.7" customHeight="1" x14ac:dyDescent="0.4">
      <c r="B71" s="90" t="s">
        <v>75</v>
      </c>
      <c r="C71" s="61" t="s">
        <v>76</v>
      </c>
      <c r="D71" s="60">
        <v>7432</v>
      </c>
      <c r="E71" s="60">
        <v>7432</v>
      </c>
      <c r="F71" s="60">
        <v>13549.56</v>
      </c>
      <c r="G71" s="68">
        <f t="shared" si="1"/>
        <v>1.8231377825618944</v>
      </c>
    </row>
    <row r="72" spans="2:7" ht="14.7" customHeight="1" x14ac:dyDescent="0.4">
      <c r="B72" s="90" t="s">
        <v>77</v>
      </c>
      <c r="C72" s="61" t="s">
        <v>78</v>
      </c>
      <c r="D72" s="60">
        <v>13272</v>
      </c>
      <c r="E72" s="60">
        <v>13272</v>
      </c>
      <c r="F72" s="60">
        <v>0</v>
      </c>
      <c r="G72" s="68">
        <f t="shared" si="1"/>
        <v>0</v>
      </c>
    </row>
    <row r="73" spans="2:7" ht="14.7" customHeight="1" x14ac:dyDescent="0.4">
      <c r="B73" s="90" t="s">
        <v>79</v>
      </c>
      <c r="C73" s="61" t="s">
        <v>80</v>
      </c>
      <c r="D73" s="60">
        <v>818</v>
      </c>
      <c r="E73" s="60">
        <v>818</v>
      </c>
      <c r="F73" s="60">
        <v>1397.52</v>
      </c>
      <c r="G73" s="68">
        <f t="shared" ref="G73:G131" si="24">F73/E73</f>
        <v>1.7084596577017115</v>
      </c>
    </row>
    <row r="74" spans="2:7" ht="14.7" customHeight="1" x14ac:dyDescent="0.4">
      <c r="B74" s="90" t="s">
        <v>81</v>
      </c>
      <c r="C74" s="61" t="s">
        <v>82</v>
      </c>
      <c r="D74" s="60">
        <v>664</v>
      </c>
      <c r="E74" s="60">
        <v>664</v>
      </c>
      <c r="F74" s="60">
        <v>45.98</v>
      </c>
      <c r="G74" s="68">
        <f t="shared" si="24"/>
        <v>6.9246987951807226E-2</v>
      </c>
    </row>
    <row r="75" spans="2:7" ht="14.7" customHeight="1" x14ac:dyDescent="0.4">
      <c r="B75" s="90">
        <v>3227</v>
      </c>
      <c r="C75" s="61" t="s">
        <v>260</v>
      </c>
      <c r="D75" s="60">
        <v>5000</v>
      </c>
      <c r="E75" s="60">
        <v>5000</v>
      </c>
      <c r="F75" s="60">
        <v>2100</v>
      </c>
      <c r="G75" s="68">
        <f t="shared" si="24"/>
        <v>0.42</v>
      </c>
    </row>
    <row r="76" spans="2:7" ht="14.7" customHeight="1" x14ac:dyDescent="0.4">
      <c r="B76" s="89" t="s">
        <v>188</v>
      </c>
      <c r="C76" s="61" t="s">
        <v>83</v>
      </c>
      <c r="D76" s="60">
        <f>SUM(D77:D84)</f>
        <v>143523</v>
      </c>
      <c r="E76" s="60">
        <f>SUM(E77:E84)</f>
        <v>143523</v>
      </c>
      <c r="F76" s="60">
        <f>SUM(F77:F84)</f>
        <v>132216.59000000003</v>
      </c>
      <c r="G76" s="68">
        <f t="shared" si="24"/>
        <v>0.92122231280003919</v>
      </c>
    </row>
    <row r="77" spans="2:7" ht="14.7" customHeight="1" x14ac:dyDescent="0.4">
      <c r="B77" s="90" t="s">
        <v>84</v>
      </c>
      <c r="C77" s="61" t="s">
        <v>85</v>
      </c>
      <c r="D77" s="60">
        <v>6636</v>
      </c>
      <c r="E77" s="60">
        <v>6636</v>
      </c>
      <c r="F77" s="60">
        <v>2176.6999999999998</v>
      </c>
      <c r="G77" s="68">
        <f t="shared" si="24"/>
        <v>0.32801386377335739</v>
      </c>
    </row>
    <row r="78" spans="2:7" ht="14.7" customHeight="1" x14ac:dyDescent="0.4">
      <c r="B78" s="90" t="s">
        <v>86</v>
      </c>
      <c r="C78" s="61" t="s">
        <v>87</v>
      </c>
      <c r="D78" s="60">
        <v>2309</v>
      </c>
      <c r="E78" s="60">
        <v>2309</v>
      </c>
      <c r="F78" s="60">
        <v>41</v>
      </c>
      <c r="G78" s="68">
        <f t="shared" si="24"/>
        <v>1.7756604590731917E-2</v>
      </c>
    </row>
    <row r="79" spans="2:7" ht="14.7" customHeight="1" x14ac:dyDescent="0.4">
      <c r="B79" s="90" t="s">
        <v>88</v>
      </c>
      <c r="C79" s="61" t="s">
        <v>89</v>
      </c>
      <c r="D79" s="60">
        <v>13272</v>
      </c>
      <c r="E79" s="60">
        <v>13272</v>
      </c>
      <c r="F79" s="60">
        <v>4491.88</v>
      </c>
      <c r="G79" s="68">
        <f t="shared" si="24"/>
        <v>0.3384478601567209</v>
      </c>
    </row>
    <row r="80" spans="2:7" ht="14.7" customHeight="1" x14ac:dyDescent="0.4">
      <c r="B80" s="90" t="s">
        <v>92</v>
      </c>
      <c r="C80" s="61" t="s">
        <v>93</v>
      </c>
      <c r="D80" s="60">
        <v>70954</v>
      </c>
      <c r="E80" s="60">
        <v>70954</v>
      </c>
      <c r="F80" s="60">
        <v>74732.210000000006</v>
      </c>
      <c r="G80" s="68">
        <f t="shared" si="24"/>
        <v>1.0532487245257491</v>
      </c>
    </row>
    <row r="81" spans="2:7" ht="14.7" customHeight="1" x14ac:dyDescent="0.4">
      <c r="B81" s="90" t="s">
        <v>94</v>
      </c>
      <c r="C81" s="61" t="s">
        <v>95</v>
      </c>
      <c r="D81" s="60">
        <v>18581</v>
      </c>
      <c r="E81" s="60">
        <v>18581</v>
      </c>
      <c r="F81" s="60">
        <v>12988.8</v>
      </c>
      <c r="G81" s="68">
        <f t="shared" si="24"/>
        <v>0.69903665034174689</v>
      </c>
    </row>
    <row r="82" spans="2:7" ht="14.7" customHeight="1" x14ac:dyDescent="0.4">
      <c r="B82" s="90" t="s">
        <v>96</v>
      </c>
      <c r="C82" s="61" t="s">
        <v>97</v>
      </c>
      <c r="D82" s="60">
        <v>25171</v>
      </c>
      <c r="E82" s="60">
        <v>25171</v>
      </c>
      <c r="F82" s="60">
        <v>16016.54</v>
      </c>
      <c r="G82" s="68">
        <f t="shared" si="24"/>
        <v>0.63630924476580197</v>
      </c>
    </row>
    <row r="83" spans="2:7" ht="14.7" customHeight="1" x14ac:dyDescent="0.4">
      <c r="B83" s="90" t="s">
        <v>98</v>
      </c>
      <c r="C83" s="61" t="s">
        <v>99</v>
      </c>
      <c r="D83" s="60">
        <v>4291</v>
      </c>
      <c r="E83" s="60">
        <v>4291</v>
      </c>
      <c r="F83" s="60">
        <v>1791.74</v>
      </c>
      <c r="G83" s="68">
        <f t="shared" si="24"/>
        <v>0.41755767886273598</v>
      </c>
    </row>
    <row r="84" spans="2:7" ht="14.7" customHeight="1" x14ac:dyDescent="0.4">
      <c r="B84" s="90" t="s">
        <v>100</v>
      </c>
      <c r="C84" s="61" t="s">
        <v>101</v>
      </c>
      <c r="D84" s="60">
        <v>2309</v>
      </c>
      <c r="E84" s="60">
        <v>2309</v>
      </c>
      <c r="F84" s="60">
        <v>19977.72</v>
      </c>
      <c r="G84" s="68">
        <f t="shared" si="24"/>
        <v>8.6521091381550459</v>
      </c>
    </row>
    <row r="85" spans="2:7" ht="14.7" customHeight="1" x14ac:dyDescent="0.4">
      <c r="B85" s="89" t="s">
        <v>200</v>
      </c>
      <c r="C85" s="61" t="s">
        <v>102</v>
      </c>
      <c r="D85" s="60">
        <f>D86</f>
        <v>2654</v>
      </c>
      <c r="E85" s="60">
        <f t="shared" ref="E85:F85" si="25">E86</f>
        <v>2654</v>
      </c>
      <c r="F85" s="60">
        <f t="shared" si="25"/>
        <v>538.11</v>
      </c>
      <c r="G85" s="68">
        <f t="shared" si="24"/>
        <v>0.20275433308214016</v>
      </c>
    </row>
    <row r="86" spans="2:7" ht="14.7" customHeight="1" x14ac:dyDescent="0.4">
      <c r="B86" s="90" t="s">
        <v>201</v>
      </c>
      <c r="C86" s="61" t="s">
        <v>102</v>
      </c>
      <c r="D86" s="60">
        <v>2654</v>
      </c>
      <c r="E86" s="60">
        <v>2654</v>
      </c>
      <c r="F86" s="60">
        <v>538.11</v>
      </c>
      <c r="G86" s="68">
        <f t="shared" si="24"/>
        <v>0.20275433308214016</v>
      </c>
    </row>
    <row r="87" spans="2:7" ht="14.7" customHeight="1" x14ac:dyDescent="0.4">
      <c r="B87" s="89" t="s">
        <v>189</v>
      </c>
      <c r="C87" s="61" t="s">
        <v>109</v>
      </c>
      <c r="D87" s="60">
        <f>SUM(D88:D92)</f>
        <v>32037</v>
      </c>
      <c r="E87" s="60">
        <f>SUM(E88:E92)</f>
        <v>32037</v>
      </c>
      <c r="F87" s="60">
        <f>SUM(F88:F92)</f>
        <v>28627.000000000004</v>
      </c>
      <c r="G87" s="68">
        <f t="shared" si="24"/>
        <v>0.89356057059025518</v>
      </c>
    </row>
    <row r="88" spans="2:7" ht="14.7" customHeight="1" x14ac:dyDescent="0.4">
      <c r="B88" s="90" t="s">
        <v>111</v>
      </c>
      <c r="C88" s="61" t="s">
        <v>104</v>
      </c>
      <c r="D88" s="60">
        <v>265</v>
      </c>
      <c r="E88" s="60">
        <v>265</v>
      </c>
      <c r="F88" s="60">
        <v>15.77</v>
      </c>
      <c r="G88" s="68">
        <f t="shared" si="24"/>
        <v>5.9509433962264151E-2</v>
      </c>
    </row>
    <row r="89" spans="2:7" ht="14.7" customHeight="1" x14ac:dyDescent="0.4">
      <c r="B89" s="90" t="s">
        <v>112</v>
      </c>
      <c r="C89" s="61" t="s">
        <v>105</v>
      </c>
      <c r="D89" s="60">
        <v>28410</v>
      </c>
      <c r="E89" s="60">
        <v>28410</v>
      </c>
      <c r="F89" s="60">
        <v>27446.36</v>
      </c>
      <c r="G89" s="68">
        <f t="shared" si="24"/>
        <v>0.96608095740936295</v>
      </c>
    </row>
    <row r="90" spans="2:7" ht="14.7" customHeight="1" x14ac:dyDescent="0.4">
      <c r="B90" s="90" t="s">
        <v>114</v>
      </c>
      <c r="C90" s="61" t="s">
        <v>107</v>
      </c>
      <c r="D90" s="60">
        <v>1062</v>
      </c>
      <c r="E90" s="60">
        <v>1062</v>
      </c>
      <c r="F90" s="60">
        <v>0</v>
      </c>
      <c r="G90" s="68">
        <f t="shared" si="24"/>
        <v>0</v>
      </c>
    </row>
    <row r="91" spans="2:7" ht="14.7" customHeight="1" x14ac:dyDescent="0.4">
      <c r="B91" s="90" t="s">
        <v>115</v>
      </c>
      <c r="C91" s="61" t="s">
        <v>108</v>
      </c>
      <c r="D91" s="60">
        <v>800</v>
      </c>
      <c r="E91" s="60">
        <v>800</v>
      </c>
      <c r="F91" s="60">
        <v>355.29</v>
      </c>
      <c r="G91" s="68">
        <v>0</v>
      </c>
    </row>
    <row r="92" spans="2:7" ht="14.7" customHeight="1" x14ac:dyDescent="0.4">
      <c r="B92" s="90" t="s">
        <v>116</v>
      </c>
      <c r="C92" s="61" t="s">
        <v>109</v>
      </c>
      <c r="D92" s="60">
        <v>1500</v>
      </c>
      <c r="E92" s="60">
        <v>1500</v>
      </c>
      <c r="F92" s="60">
        <v>809.58</v>
      </c>
      <c r="G92" s="68">
        <v>0</v>
      </c>
    </row>
    <row r="93" spans="2:7" ht="14.7" customHeight="1" x14ac:dyDescent="0.4">
      <c r="B93" s="88" t="s">
        <v>190</v>
      </c>
      <c r="C93" s="61" t="s">
        <v>117</v>
      </c>
      <c r="D93" s="60">
        <f>D94</f>
        <v>4154</v>
      </c>
      <c r="E93" s="60">
        <f t="shared" ref="E93:F93" si="26">E94</f>
        <v>4154</v>
      </c>
      <c r="F93" s="60">
        <f t="shared" si="26"/>
        <v>2446.67</v>
      </c>
      <c r="G93" s="68">
        <f t="shared" si="24"/>
        <v>0.58899133365430911</v>
      </c>
    </row>
    <row r="94" spans="2:7" ht="14.7" customHeight="1" x14ac:dyDescent="0.4">
      <c r="B94" s="89" t="s">
        <v>191</v>
      </c>
      <c r="C94" s="61" t="s">
        <v>118</v>
      </c>
      <c r="D94" s="60">
        <f>SUM(D95:D96)</f>
        <v>4154</v>
      </c>
      <c r="E94" s="60">
        <f t="shared" ref="E94:F94" si="27">SUM(E95:E96)</f>
        <v>4154</v>
      </c>
      <c r="F94" s="60">
        <f t="shared" si="27"/>
        <v>2446.67</v>
      </c>
      <c r="G94" s="68">
        <f t="shared" si="24"/>
        <v>0.58899133365430911</v>
      </c>
    </row>
    <row r="95" spans="2:7" ht="14.7" customHeight="1" x14ac:dyDescent="0.4">
      <c r="B95" s="90" t="s">
        <v>192</v>
      </c>
      <c r="C95" s="61" t="s">
        <v>119</v>
      </c>
      <c r="D95" s="60">
        <v>2654</v>
      </c>
      <c r="E95" s="60">
        <v>2654</v>
      </c>
      <c r="F95" s="60">
        <v>2446.67</v>
      </c>
      <c r="G95" s="68">
        <f t="shared" si="24"/>
        <v>0.92188018085908063</v>
      </c>
    </row>
    <row r="96" spans="2:7" ht="14.7" customHeight="1" x14ac:dyDescent="0.4">
      <c r="B96" s="90" t="s">
        <v>202</v>
      </c>
      <c r="C96" s="61" t="s">
        <v>120</v>
      </c>
      <c r="D96" s="60">
        <v>1500</v>
      </c>
      <c r="E96" s="60">
        <v>1500</v>
      </c>
      <c r="F96" s="60">
        <v>0</v>
      </c>
      <c r="G96" s="68">
        <v>0</v>
      </c>
    </row>
    <row r="97" spans="2:7" ht="14.7" customHeight="1" x14ac:dyDescent="0.4">
      <c r="B97" s="88" t="s">
        <v>193</v>
      </c>
      <c r="C97" s="61" t="s">
        <v>124</v>
      </c>
      <c r="D97" s="60">
        <f>D98</f>
        <v>3318</v>
      </c>
      <c r="E97" s="60">
        <f t="shared" ref="E97:F97" si="28">E98</f>
        <v>3318</v>
      </c>
      <c r="F97" s="60">
        <f t="shared" si="28"/>
        <v>0</v>
      </c>
      <c r="G97" s="68">
        <f t="shared" si="24"/>
        <v>0</v>
      </c>
    </row>
    <row r="98" spans="2:7" ht="14.7" customHeight="1" x14ac:dyDescent="0.4">
      <c r="B98" s="89" t="s">
        <v>194</v>
      </c>
      <c r="C98" s="61" t="s">
        <v>125</v>
      </c>
      <c r="D98" s="60">
        <f>D99</f>
        <v>3318</v>
      </c>
      <c r="E98" s="60">
        <f t="shared" ref="E98:F98" si="29">E99</f>
        <v>3318</v>
      </c>
      <c r="F98" s="60">
        <f t="shared" si="29"/>
        <v>0</v>
      </c>
      <c r="G98" s="68">
        <f t="shared" si="24"/>
        <v>0</v>
      </c>
    </row>
    <row r="99" spans="2:7" ht="14.7" customHeight="1" x14ac:dyDescent="0.4">
      <c r="B99" s="90" t="s">
        <v>195</v>
      </c>
      <c r="C99" s="61" t="s">
        <v>126</v>
      </c>
      <c r="D99" s="60">
        <v>3318</v>
      </c>
      <c r="E99" s="60">
        <v>3318</v>
      </c>
      <c r="F99" s="60">
        <v>0</v>
      </c>
      <c r="G99" s="68">
        <f t="shared" si="24"/>
        <v>0</v>
      </c>
    </row>
    <row r="100" spans="2:7" ht="14.7" customHeight="1" x14ac:dyDescent="0.4">
      <c r="B100" s="88" t="s">
        <v>203</v>
      </c>
      <c r="C100" s="61" t="s">
        <v>129</v>
      </c>
      <c r="D100" s="60">
        <f>D101</f>
        <v>17843</v>
      </c>
      <c r="E100" s="60">
        <f t="shared" ref="E100:F100" si="30">E101</f>
        <v>17843</v>
      </c>
      <c r="F100" s="60">
        <f t="shared" si="30"/>
        <v>7485.59</v>
      </c>
      <c r="G100" s="68">
        <f t="shared" si="24"/>
        <v>0.4195253040408003</v>
      </c>
    </row>
    <row r="101" spans="2:7" ht="14.7" customHeight="1" x14ac:dyDescent="0.4">
      <c r="B101" s="89" t="s">
        <v>204</v>
      </c>
      <c r="C101" s="61" t="s">
        <v>130</v>
      </c>
      <c r="D101" s="60">
        <f>SUM(D102:D104)</f>
        <v>17843</v>
      </c>
      <c r="E101" s="60">
        <f t="shared" ref="E101:F101" si="31">SUM(E102:E104)</f>
        <v>17843</v>
      </c>
      <c r="F101" s="60">
        <f t="shared" si="31"/>
        <v>7485.59</v>
      </c>
      <c r="G101" s="68">
        <f t="shared" si="24"/>
        <v>0.4195253040408003</v>
      </c>
    </row>
    <row r="102" spans="2:7" ht="14.7" customHeight="1" x14ac:dyDescent="0.4">
      <c r="B102" s="90" t="s">
        <v>205</v>
      </c>
      <c r="C102" s="61" t="s">
        <v>131</v>
      </c>
      <c r="D102" s="60">
        <v>3272</v>
      </c>
      <c r="E102" s="106">
        <v>3272</v>
      </c>
      <c r="F102" s="106">
        <v>0</v>
      </c>
      <c r="G102" s="68">
        <f t="shared" si="24"/>
        <v>0</v>
      </c>
    </row>
    <row r="103" spans="2:7" ht="14.7" customHeight="1" x14ac:dyDescent="0.4">
      <c r="B103" s="90" t="s">
        <v>206</v>
      </c>
      <c r="C103" s="61" t="s">
        <v>132</v>
      </c>
      <c r="D103" s="60">
        <v>14085</v>
      </c>
      <c r="E103" s="106">
        <v>14085</v>
      </c>
      <c r="F103" s="106">
        <v>7000</v>
      </c>
      <c r="G103" s="68">
        <f t="shared" si="24"/>
        <v>0.4969826056088037</v>
      </c>
    </row>
    <row r="104" spans="2:7" ht="14.7" customHeight="1" x14ac:dyDescent="0.4">
      <c r="B104" s="90">
        <v>4227</v>
      </c>
      <c r="C104" s="61" t="s">
        <v>261</v>
      </c>
      <c r="D104" s="60">
        <v>486</v>
      </c>
      <c r="E104" s="106">
        <v>486</v>
      </c>
      <c r="F104" s="106">
        <v>485.59</v>
      </c>
      <c r="G104" s="68">
        <f t="shared" si="24"/>
        <v>0.99915637860082296</v>
      </c>
    </row>
    <row r="105" spans="2:7" s="51" customFormat="1" ht="14.7" customHeight="1" x14ac:dyDescent="0.4">
      <c r="B105" s="85" t="s">
        <v>207</v>
      </c>
      <c r="C105" s="65" t="s">
        <v>231</v>
      </c>
      <c r="D105" s="64">
        <f>D106+D111</f>
        <v>23398</v>
      </c>
      <c r="E105" s="64">
        <f>E106+E111</f>
        <v>23398</v>
      </c>
      <c r="F105" s="64">
        <f>F106+F111</f>
        <v>22899.89</v>
      </c>
      <c r="G105" s="76">
        <f t="shared" si="24"/>
        <v>0.97871142832720748</v>
      </c>
    </row>
    <row r="106" spans="2:7" ht="14.7" customHeight="1" x14ac:dyDescent="0.4">
      <c r="B106" s="88" t="s">
        <v>175</v>
      </c>
      <c r="C106" s="61" t="s">
        <v>5</v>
      </c>
      <c r="D106" s="60">
        <f>D107+D109</f>
        <v>17293</v>
      </c>
      <c r="E106" s="60">
        <f t="shared" ref="E106:F106" si="32">E107+E109</f>
        <v>17293</v>
      </c>
      <c r="F106" s="60">
        <f t="shared" si="32"/>
        <v>17291.48</v>
      </c>
      <c r="G106" s="68">
        <f t="shared" si="24"/>
        <v>0.99991210316312962</v>
      </c>
    </row>
    <row r="107" spans="2:7" ht="14.7" customHeight="1" x14ac:dyDescent="0.4">
      <c r="B107" s="89" t="s">
        <v>176</v>
      </c>
      <c r="C107" s="61" t="s">
        <v>35</v>
      </c>
      <c r="D107" s="60">
        <f>D108</f>
        <v>14843</v>
      </c>
      <c r="E107" s="60">
        <f t="shared" ref="E107:F107" si="33">E108</f>
        <v>14843</v>
      </c>
      <c r="F107" s="60">
        <f t="shared" si="33"/>
        <v>14842.47</v>
      </c>
      <c r="G107" s="68">
        <f t="shared" si="24"/>
        <v>0.99996429293269551</v>
      </c>
    </row>
    <row r="108" spans="2:7" ht="14.7" customHeight="1" x14ac:dyDescent="0.4">
      <c r="B108" s="90" t="s">
        <v>177</v>
      </c>
      <c r="C108" s="61" t="s">
        <v>36</v>
      </c>
      <c r="D108" s="60">
        <v>14843</v>
      </c>
      <c r="E108" s="60">
        <v>14843</v>
      </c>
      <c r="F108" s="60">
        <v>14842.47</v>
      </c>
      <c r="G108" s="68">
        <f t="shared" si="24"/>
        <v>0.99996429293269551</v>
      </c>
    </row>
    <row r="109" spans="2:7" ht="14.7" customHeight="1" x14ac:dyDescent="0.4">
      <c r="B109" s="89" t="s">
        <v>180</v>
      </c>
      <c r="C109" s="61" t="s">
        <v>69</v>
      </c>
      <c r="D109" s="60">
        <f>D110</f>
        <v>2450</v>
      </c>
      <c r="E109" s="60">
        <f t="shared" ref="E109:F109" si="34">E110</f>
        <v>2450</v>
      </c>
      <c r="F109" s="60">
        <f t="shared" si="34"/>
        <v>2449.0100000000002</v>
      </c>
      <c r="G109" s="68">
        <f t="shared" si="24"/>
        <v>0.99959591836734707</v>
      </c>
    </row>
    <row r="110" spans="2:7" ht="14.7" customHeight="1" x14ac:dyDescent="0.4">
      <c r="B110" s="90" t="s">
        <v>181</v>
      </c>
      <c r="C110" s="61" t="s">
        <v>70</v>
      </c>
      <c r="D110" s="60">
        <v>2450</v>
      </c>
      <c r="E110" s="60">
        <v>2450</v>
      </c>
      <c r="F110" s="60">
        <v>2449.0100000000002</v>
      </c>
      <c r="G110" s="68">
        <f t="shared" si="24"/>
        <v>0.99959591836734707</v>
      </c>
    </row>
    <row r="111" spans="2:7" ht="14.7" customHeight="1" x14ac:dyDescent="0.4">
      <c r="B111" s="88" t="s">
        <v>182</v>
      </c>
      <c r="C111" s="61" t="s">
        <v>14</v>
      </c>
      <c r="D111" s="60">
        <f>D112+D114</f>
        <v>6105</v>
      </c>
      <c r="E111" s="60">
        <f t="shared" ref="E111:F111" si="35">E112+E114</f>
        <v>6105</v>
      </c>
      <c r="F111" s="60">
        <f t="shared" si="35"/>
        <v>5608.41</v>
      </c>
      <c r="G111" s="68">
        <f t="shared" si="24"/>
        <v>0.91865847665847666</v>
      </c>
    </row>
    <row r="112" spans="2:7" ht="14.7" customHeight="1" x14ac:dyDescent="0.4">
      <c r="B112" s="89" t="s">
        <v>183</v>
      </c>
      <c r="C112" s="61" t="s">
        <v>37</v>
      </c>
      <c r="D112" s="60">
        <f>D113</f>
        <v>796</v>
      </c>
      <c r="E112" s="60">
        <f t="shared" ref="E112:F112" si="36">E113</f>
        <v>796</v>
      </c>
      <c r="F112" s="60">
        <f t="shared" si="36"/>
        <v>413.41</v>
      </c>
      <c r="G112" s="68">
        <f t="shared" si="24"/>
        <v>0.51935929648241208</v>
      </c>
    </row>
    <row r="113" spans="2:7" ht="14.7" customHeight="1" x14ac:dyDescent="0.4">
      <c r="B113" s="90" t="s">
        <v>185</v>
      </c>
      <c r="C113" s="61" t="s">
        <v>72</v>
      </c>
      <c r="D113" s="60">
        <v>796</v>
      </c>
      <c r="E113" s="60">
        <v>796</v>
      </c>
      <c r="F113" s="60">
        <v>413.41</v>
      </c>
      <c r="G113" s="68">
        <f t="shared" si="24"/>
        <v>0.51935929648241208</v>
      </c>
    </row>
    <row r="114" spans="2:7" ht="14.7" customHeight="1" x14ac:dyDescent="0.4">
      <c r="B114" s="89" t="s">
        <v>188</v>
      </c>
      <c r="C114" s="61" t="s">
        <v>83</v>
      </c>
      <c r="D114" s="60">
        <f>SUM(D115:D115)</f>
        <v>5309</v>
      </c>
      <c r="E114" s="60">
        <f>SUM(E115:E115)</f>
        <v>5309</v>
      </c>
      <c r="F114" s="60">
        <f>SUM(F115:F115)</f>
        <v>5195</v>
      </c>
      <c r="G114" s="68">
        <f t="shared" si="24"/>
        <v>0.97852702957242421</v>
      </c>
    </row>
    <row r="115" spans="2:7" ht="14.7" customHeight="1" x14ac:dyDescent="0.4">
      <c r="B115" s="90" t="s">
        <v>92</v>
      </c>
      <c r="C115" s="61" t="s">
        <v>93</v>
      </c>
      <c r="D115" s="60">
        <v>5309</v>
      </c>
      <c r="E115" s="60">
        <v>5309</v>
      </c>
      <c r="F115" s="60">
        <v>5195</v>
      </c>
      <c r="G115" s="68">
        <f t="shared" si="24"/>
        <v>0.97852702957242421</v>
      </c>
    </row>
    <row r="116" spans="2:7" s="51" customFormat="1" ht="14.7" customHeight="1" x14ac:dyDescent="0.4">
      <c r="B116" s="85" t="s">
        <v>208</v>
      </c>
      <c r="C116" s="65" t="s">
        <v>232</v>
      </c>
      <c r="D116" s="64">
        <f>D117+D124+D135+D138</f>
        <v>493710</v>
      </c>
      <c r="E116" s="64">
        <f t="shared" ref="E116:F116" si="37">E117+E124+E135+E138</f>
        <v>493710</v>
      </c>
      <c r="F116" s="64">
        <f t="shared" si="37"/>
        <v>234978.76</v>
      </c>
      <c r="G116" s="76">
        <f t="shared" si="24"/>
        <v>0.47594490692916896</v>
      </c>
    </row>
    <row r="117" spans="2:7" ht="14.7" customHeight="1" x14ac:dyDescent="0.4">
      <c r="B117" s="88" t="s">
        <v>175</v>
      </c>
      <c r="C117" s="61" t="s">
        <v>5</v>
      </c>
      <c r="D117" s="60">
        <f>D118+D120+D122</f>
        <v>159666</v>
      </c>
      <c r="E117" s="60">
        <f t="shared" ref="E117:F117" si="38">E118+E120+E122</f>
        <v>159666</v>
      </c>
      <c r="F117" s="60">
        <f t="shared" si="38"/>
        <v>41712.71</v>
      </c>
      <c r="G117" s="68">
        <f t="shared" si="24"/>
        <v>0.26124979645008956</v>
      </c>
    </row>
    <row r="118" spans="2:7" ht="14.7" customHeight="1" x14ac:dyDescent="0.4">
      <c r="B118" s="89" t="s">
        <v>176</v>
      </c>
      <c r="C118" s="61" t="s">
        <v>35</v>
      </c>
      <c r="D118" s="60">
        <f>D119</f>
        <v>134050</v>
      </c>
      <c r="E118" s="60">
        <f t="shared" ref="E118:F118" si="39">E119</f>
        <v>134050</v>
      </c>
      <c r="F118" s="60">
        <f t="shared" si="39"/>
        <v>35451.089999999997</v>
      </c>
      <c r="G118" s="68">
        <f t="shared" si="24"/>
        <v>0.26446169339798581</v>
      </c>
    </row>
    <row r="119" spans="2:7" ht="14.7" customHeight="1" x14ac:dyDescent="0.4">
      <c r="B119" s="90" t="s">
        <v>177</v>
      </c>
      <c r="C119" s="61" t="s">
        <v>36</v>
      </c>
      <c r="D119" s="60">
        <v>134050</v>
      </c>
      <c r="E119" s="60">
        <v>134050</v>
      </c>
      <c r="F119" s="60">
        <v>35451.089999999997</v>
      </c>
      <c r="G119" s="68">
        <f t="shared" si="24"/>
        <v>0.26446169339798581</v>
      </c>
    </row>
    <row r="120" spans="2:7" ht="14.7" customHeight="1" x14ac:dyDescent="0.4">
      <c r="B120" s="89" t="s">
        <v>178</v>
      </c>
      <c r="C120" s="61" t="s">
        <v>68</v>
      </c>
      <c r="D120" s="60">
        <f>D121</f>
        <v>2654</v>
      </c>
      <c r="E120" s="60">
        <f t="shared" ref="E120:F120" si="40">E121</f>
        <v>2654</v>
      </c>
      <c r="F120" s="60">
        <f t="shared" si="40"/>
        <v>450</v>
      </c>
      <c r="G120" s="68">
        <f t="shared" si="24"/>
        <v>0.16955538809344387</v>
      </c>
    </row>
    <row r="121" spans="2:7" ht="14.7" customHeight="1" x14ac:dyDescent="0.4">
      <c r="B121" s="90" t="s">
        <v>179</v>
      </c>
      <c r="C121" s="61" t="s">
        <v>68</v>
      </c>
      <c r="D121" s="60">
        <v>2654</v>
      </c>
      <c r="E121" s="60">
        <v>2654</v>
      </c>
      <c r="F121" s="60">
        <v>450</v>
      </c>
      <c r="G121" s="68">
        <f t="shared" si="24"/>
        <v>0.16955538809344387</v>
      </c>
    </row>
    <row r="122" spans="2:7" ht="14.7" customHeight="1" x14ac:dyDescent="0.4">
      <c r="B122" s="89" t="s">
        <v>180</v>
      </c>
      <c r="C122" s="61" t="s">
        <v>69</v>
      </c>
      <c r="D122" s="60">
        <f>D123</f>
        <v>22962</v>
      </c>
      <c r="E122" s="60">
        <f t="shared" ref="E122:F122" si="41">E123</f>
        <v>22962</v>
      </c>
      <c r="F122" s="60">
        <f t="shared" si="41"/>
        <v>5811.62</v>
      </c>
      <c r="G122" s="68">
        <f t="shared" si="24"/>
        <v>0.25309729117672675</v>
      </c>
    </row>
    <row r="123" spans="2:7" ht="14.7" customHeight="1" x14ac:dyDescent="0.4">
      <c r="B123" s="90" t="s">
        <v>181</v>
      </c>
      <c r="C123" s="61" t="s">
        <v>70</v>
      </c>
      <c r="D123" s="60">
        <v>22962</v>
      </c>
      <c r="E123" s="60">
        <v>22962</v>
      </c>
      <c r="F123" s="60">
        <v>5811.62</v>
      </c>
      <c r="G123" s="68">
        <f t="shared" si="24"/>
        <v>0.25309729117672675</v>
      </c>
    </row>
    <row r="124" spans="2:7" ht="14.7" customHeight="1" x14ac:dyDescent="0.4">
      <c r="B124" s="88" t="s">
        <v>182</v>
      </c>
      <c r="C124" s="61" t="s">
        <v>14</v>
      </c>
      <c r="D124" s="60">
        <f>D125+D129+D132</f>
        <v>25219</v>
      </c>
      <c r="E124" s="60">
        <f t="shared" ref="E124:F124" si="42">E125+E129+E132</f>
        <v>25219</v>
      </c>
      <c r="F124" s="60">
        <f t="shared" si="42"/>
        <v>10500.18</v>
      </c>
      <c r="G124" s="68">
        <f t="shared" si="24"/>
        <v>0.41635988738649432</v>
      </c>
    </row>
    <row r="125" spans="2:7" ht="14.7" customHeight="1" x14ac:dyDescent="0.4">
      <c r="B125" s="89" t="s">
        <v>183</v>
      </c>
      <c r="C125" s="61" t="s">
        <v>37</v>
      </c>
      <c r="D125" s="60">
        <f>SUM(D126:D128)</f>
        <v>14601</v>
      </c>
      <c r="E125" s="60">
        <f t="shared" ref="E125:F125" si="43">SUM(E126:E128)</f>
        <v>14601</v>
      </c>
      <c r="F125" s="60">
        <f t="shared" si="43"/>
        <v>8435.69</v>
      </c>
      <c r="G125" s="68">
        <f t="shared" si="24"/>
        <v>0.5777474145606466</v>
      </c>
    </row>
    <row r="126" spans="2:7" ht="14.7" customHeight="1" x14ac:dyDescent="0.4">
      <c r="B126" s="90" t="s">
        <v>184</v>
      </c>
      <c r="C126" s="61" t="s">
        <v>38</v>
      </c>
      <c r="D126" s="60">
        <v>12300</v>
      </c>
      <c r="E126" s="60">
        <v>12300</v>
      </c>
      <c r="F126" s="60">
        <v>8205.94</v>
      </c>
      <c r="G126" s="68">
        <f t="shared" si="24"/>
        <v>0.66714959349593506</v>
      </c>
    </row>
    <row r="127" spans="2:7" ht="14.7" customHeight="1" x14ac:dyDescent="0.4">
      <c r="B127" s="90" t="s">
        <v>185</v>
      </c>
      <c r="C127" s="61" t="s">
        <v>72</v>
      </c>
      <c r="D127" s="60">
        <v>665</v>
      </c>
      <c r="E127" s="60">
        <v>665</v>
      </c>
      <c r="F127" s="60">
        <v>229.75</v>
      </c>
      <c r="G127" s="68">
        <f t="shared" si="24"/>
        <v>0.34548872180451129</v>
      </c>
    </row>
    <row r="128" spans="2:7" ht="14.7" customHeight="1" x14ac:dyDescent="0.4">
      <c r="B128" s="90" t="s">
        <v>186</v>
      </c>
      <c r="C128" s="61" t="s">
        <v>73</v>
      </c>
      <c r="D128" s="60">
        <v>1636</v>
      </c>
      <c r="E128" s="60">
        <v>1636</v>
      </c>
      <c r="F128" s="60">
        <v>0</v>
      </c>
      <c r="G128" s="68">
        <f t="shared" si="24"/>
        <v>0</v>
      </c>
    </row>
    <row r="129" spans="2:7" ht="14.7" customHeight="1" x14ac:dyDescent="0.4">
      <c r="B129" s="89" t="s">
        <v>188</v>
      </c>
      <c r="C129" s="61" t="s">
        <v>83</v>
      </c>
      <c r="D129" s="60">
        <f>SUM(D130:D131)</f>
        <v>7627</v>
      </c>
      <c r="E129" s="60">
        <f t="shared" ref="E129:F129" si="44">SUM(E130:E131)</f>
        <v>7627</v>
      </c>
      <c r="F129" s="60">
        <f t="shared" si="44"/>
        <v>765.07</v>
      </c>
      <c r="G129" s="68">
        <f t="shared" si="24"/>
        <v>0.10031073816703816</v>
      </c>
    </row>
    <row r="130" spans="2:7" ht="14.7" customHeight="1" x14ac:dyDescent="0.4">
      <c r="B130" s="90" t="s">
        <v>96</v>
      </c>
      <c r="C130" s="61" t="s">
        <v>97</v>
      </c>
      <c r="D130" s="60">
        <v>5636</v>
      </c>
      <c r="E130" s="60">
        <v>5636</v>
      </c>
      <c r="F130" s="60">
        <v>0</v>
      </c>
      <c r="G130" s="68">
        <f t="shared" si="24"/>
        <v>0</v>
      </c>
    </row>
    <row r="131" spans="2:7" ht="14.7" customHeight="1" x14ac:dyDescent="0.4">
      <c r="B131" s="90" t="s">
        <v>100</v>
      </c>
      <c r="C131" s="61" t="s">
        <v>101</v>
      </c>
      <c r="D131" s="60">
        <v>1991</v>
      </c>
      <c r="E131" s="60">
        <v>1991</v>
      </c>
      <c r="F131" s="60">
        <v>765.07</v>
      </c>
      <c r="G131" s="68">
        <f t="shared" si="24"/>
        <v>0.38426418884982422</v>
      </c>
    </row>
    <row r="132" spans="2:7" ht="14.7" customHeight="1" x14ac:dyDescent="0.4">
      <c r="B132" s="89" t="s">
        <v>189</v>
      </c>
      <c r="C132" s="61" t="s">
        <v>109</v>
      </c>
      <c r="D132" s="60">
        <f>D133+D134</f>
        <v>2991</v>
      </c>
      <c r="E132" s="60">
        <f t="shared" ref="E132:F132" si="45">E133+E134</f>
        <v>2991</v>
      </c>
      <c r="F132" s="60">
        <f t="shared" si="45"/>
        <v>1299.42</v>
      </c>
      <c r="G132" s="68">
        <f t="shared" ref="G132:G198" si="46">F132/E132</f>
        <v>0.43444332998996993</v>
      </c>
    </row>
    <row r="133" spans="2:7" ht="14.7" customHeight="1" x14ac:dyDescent="0.4">
      <c r="B133" s="90" t="s">
        <v>112</v>
      </c>
      <c r="C133" s="61" t="s">
        <v>105</v>
      </c>
      <c r="D133" s="60">
        <v>1991</v>
      </c>
      <c r="E133" s="60">
        <v>1991</v>
      </c>
      <c r="F133" s="60">
        <v>1291.92</v>
      </c>
      <c r="G133" s="68">
        <f t="shared" si="46"/>
        <v>0.64887995981918634</v>
      </c>
    </row>
    <row r="134" spans="2:7" ht="14.7" customHeight="1" x14ac:dyDescent="0.4">
      <c r="B134" s="90">
        <v>3299</v>
      </c>
      <c r="C134" s="61" t="s">
        <v>109</v>
      </c>
      <c r="D134" s="60">
        <v>1000</v>
      </c>
      <c r="E134" s="60">
        <v>1000</v>
      </c>
      <c r="F134" s="60">
        <v>7.5</v>
      </c>
      <c r="G134" s="68">
        <f t="shared" si="46"/>
        <v>7.4999999999999997E-3</v>
      </c>
    </row>
    <row r="135" spans="2:7" ht="14.7" customHeight="1" x14ac:dyDescent="0.4">
      <c r="B135" s="88" t="s">
        <v>190</v>
      </c>
      <c r="C135" s="61" t="s">
        <v>117</v>
      </c>
      <c r="D135" s="60">
        <f>D136</f>
        <v>265</v>
      </c>
      <c r="E135" s="60">
        <f t="shared" ref="E135:F136" si="47">E136</f>
        <v>265</v>
      </c>
      <c r="F135" s="60">
        <f t="shared" si="47"/>
        <v>0</v>
      </c>
      <c r="G135" s="68">
        <f t="shared" si="46"/>
        <v>0</v>
      </c>
    </row>
    <row r="136" spans="2:7" ht="14.7" customHeight="1" x14ac:dyDescent="0.4">
      <c r="B136" s="89" t="s">
        <v>191</v>
      </c>
      <c r="C136" s="61" t="s">
        <v>118</v>
      </c>
      <c r="D136" s="60">
        <f>D137</f>
        <v>265</v>
      </c>
      <c r="E136" s="60">
        <f t="shared" si="47"/>
        <v>265</v>
      </c>
      <c r="F136" s="60">
        <f t="shared" si="47"/>
        <v>0</v>
      </c>
      <c r="G136" s="68">
        <f t="shared" si="46"/>
        <v>0</v>
      </c>
    </row>
    <row r="137" spans="2:7" ht="14.7" customHeight="1" x14ac:dyDescent="0.4">
      <c r="B137" s="90" t="s">
        <v>192</v>
      </c>
      <c r="C137" s="61" t="s">
        <v>119</v>
      </c>
      <c r="D137" s="60">
        <v>265</v>
      </c>
      <c r="E137" s="60">
        <v>265</v>
      </c>
      <c r="F137" s="60">
        <v>0</v>
      </c>
      <c r="G137" s="68">
        <f t="shared" si="46"/>
        <v>0</v>
      </c>
    </row>
    <row r="138" spans="2:7" ht="14.7" customHeight="1" x14ac:dyDescent="0.4">
      <c r="B138" s="88" t="s">
        <v>209</v>
      </c>
      <c r="C138" s="61" t="s">
        <v>121</v>
      </c>
      <c r="D138" s="60">
        <f>D139</f>
        <v>308560</v>
      </c>
      <c r="E138" s="60">
        <f t="shared" ref="E138:F139" si="48">E139</f>
        <v>308560</v>
      </c>
      <c r="F138" s="60">
        <f t="shared" si="48"/>
        <v>182765.87</v>
      </c>
      <c r="G138" s="68">
        <f t="shared" si="46"/>
        <v>0.59231873865698725</v>
      </c>
    </row>
    <row r="139" spans="2:7" ht="14.7" customHeight="1" x14ac:dyDescent="0.4">
      <c r="B139" s="89" t="s">
        <v>210</v>
      </c>
      <c r="C139" s="61" t="s">
        <v>122</v>
      </c>
      <c r="D139" s="60">
        <f>D140</f>
        <v>308560</v>
      </c>
      <c r="E139" s="60">
        <f t="shared" si="48"/>
        <v>308560</v>
      </c>
      <c r="F139" s="60">
        <f t="shared" si="48"/>
        <v>182765.87</v>
      </c>
      <c r="G139" s="68">
        <f t="shared" si="46"/>
        <v>0.59231873865698725</v>
      </c>
    </row>
    <row r="140" spans="2:7" ht="25.75" x14ac:dyDescent="0.4">
      <c r="B140" s="90" t="s">
        <v>211</v>
      </c>
      <c r="C140" s="95" t="s">
        <v>123</v>
      </c>
      <c r="D140" s="60">
        <v>308560</v>
      </c>
      <c r="E140" s="60">
        <v>308560</v>
      </c>
      <c r="F140" s="60">
        <v>182765.87</v>
      </c>
      <c r="G140" s="68">
        <f t="shared" si="46"/>
        <v>0.59231873865698725</v>
      </c>
    </row>
    <row r="141" spans="2:7" s="51" customFormat="1" ht="14.7" customHeight="1" x14ac:dyDescent="0.4">
      <c r="B141" s="85" t="s">
        <v>212</v>
      </c>
      <c r="C141" s="65" t="s">
        <v>233</v>
      </c>
      <c r="D141" s="64">
        <f>D142+D149+D161</f>
        <v>545296</v>
      </c>
      <c r="E141" s="64">
        <f t="shared" ref="E141:F141" si="49">E142+E149+E161</f>
        <v>545296</v>
      </c>
      <c r="F141" s="64">
        <f t="shared" si="49"/>
        <v>486005.95999999996</v>
      </c>
      <c r="G141" s="76">
        <f t="shared" si="46"/>
        <v>0.89126998914351097</v>
      </c>
    </row>
    <row r="142" spans="2:7" ht="14.7" customHeight="1" x14ac:dyDescent="0.4">
      <c r="B142" s="88" t="s">
        <v>175</v>
      </c>
      <c r="C142" s="61" t="s">
        <v>5</v>
      </c>
      <c r="D142" s="60">
        <f>D143+D145+D147</f>
        <v>443460</v>
      </c>
      <c r="E142" s="60">
        <f t="shared" ref="E142:F142" si="50">E143+E145+E147</f>
        <v>443460</v>
      </c>
      <c r="F142" s="60">
        <f t="shared" si="50"/>
        <v>455483.97</v>
      </c>
      <c r="G142" s="68">
        <f t="shared" si="46"/>
        <v>1.027113989987823</v>
      </c>
    </row>
    <row r="143" spans="2:7" ht="14.7" customHeight="1" x14ac:dyDescent="0.4">
      <c r="B143" s="89" t="s">
        <v>176</v>
      </c>
      <c r="C143" s="61" t="s">
        <v>35</v>
      </c>
      <c r="D143" s="60">
        <f>D144</f>
        <v>371853</v>
      </c>
      <c r="E143" s="60">
        <f t="shared" ref="E143:F143" si="51">E144</f>
        <v>371853</v>
      </c>
      <c r="F143" s="60">
        <f t="shared" si="51"/>
        <v>395402.49</v>
      </c>
      <c r="G143" s="68">
        <f t="shared" si="46"/>
        <v>1.063330106251664</v>
      </c>
    </row>
    <row r="144" spans="2:7" ht="14.7" customHeight="1" x14ac:dyDescent="0.4">
      <c r="B144" s="90" t="s">
        <v>177</v>
      </c>
      <c r="C144" s="61" t="s">
        <v>36</v>
      </c>
      <c r="D144" s="60">
        <v>371853</v>
      </c>
      <c r="E144" s="60">
        <v>371853</v>
      </c>
      <c r="F144" s="60">
        <v>395402.49</v>
      </c>
      <c r="G144" s="68">
        <f t="shared" si="46"/>
        <v>1.063330106251664</v>
      </c>
    </row>
    <row r="145" spans="2:7" ht="14.7" customHeight="1" x14ac:dyDescent="0.4">
      <c r="B145" s="89" t="s">
        <v>178</v>
      </c>
      <c r="C145" s="61" t="s">
        <v>68</v>
      </c>
      <c r="D145" s="60">
        <f>D146</f>
        <v>3491</v>
      </c>
      <c r="E145" s="60">
        <f>E146</f>
        <v>3491</v>
      </c>
      <c r="F145" s="60">
        <f>F146</f>
        <v>150</v>
      </c>
      <c r="G145" s="68">
        <f t="shared" si="46"/>
        <v>4.2967631051274706E-2</v>
      </c>
    </row>
    <row r="146" spans="2:7" ht="14.7" customHeight="1" x14ac:dyDescent="0.4">
      <c r="B146" s="90" t="s">
        <v>179</v>
      </c>
      <c r="C146" s="61" t="s">
        <v>68</v>
      </c>
      <c r="D146" s="60">
        <v>3491</v>
      </c>
      <c r="E146" s="60">
        <v>3491</v>
      </c>
      <c r="F146" s="60">
        <v>150</v>
      </c>
      <c r="G146" s="68">
        <f t="shared" si="46"/>
        <v>4.2967631051274706E-2</v>
      </c>
    </row>
    <row r="147" spans="2:7" ht="14.7" customHeight="1" x14ac:dyDescent="0.4">
      <c r="B147" s="89" t="s">
        <v>180</v>
      </c>
      <c r="C147" s="61" t="s">
        <v>69</v>
      </c>
      <c r="D147" s="60">
        <f>D148</f>
        <v>68116</v>
      </c>
      <c r="E147" s="60">
        <f t="shared" ref="E147:F147" si="52">E148</f>
        <v>68116</v>
      </c>
      <c r="F147" s="60">
        <f t="shared" si="52"/>
        <v>59931.48</v>
      </c>
      <c r="G147" s="68">
        <f t="shared" si="46"/>
        <v>0.87984438311116331</v>
      </c>
    </row>
    <row r="148" spans="2:7" ht="14.7" customHeight="1" x14ac:dyDescent="0.4">
      <c r="B148" s="90" t="s">
        <v>181</v>
      </c>
      <c r="C148" s="61" t="s">
        <v>70</v>
      </c>
      <c r="D148" s="60">
        <v>68116</v>
      </c>
      <c r="E148" s="60">
        <v>68116</v>
      </c>
      <c r="F148" s="60">
        <v>59931.48</v>
      </c>
      <c r="G148" s="68">
        <f t="shared" si="46"/>
        <v>0.87984438311116331</v>
      </c>
    </row>
    <row r="149" spans="2:7" ht="14.7" customHeight="1" x14ac:dyDescent="0.4">
      <c r="B149" s="88" t="s">
        <v>182</v>
      </c>
      <c r="C149" s="61" t="s">
        <v>14</v>
      </c>
      <c r="D149" s="60">
        <f>D150+D154+D158</f>
        <v>101597</v>
      </c>
      <c r="E149" s="60">
        <f t="shared" ref="E149:F149" si="53">E150+E154+E158</f>
        <v>101597</v>
      </c>
      <c r="F149" s="60">
        <f t="shared" si="53"/>
        <v>30521.989999999998</v>
      </c>
      <c r="G149" s="68">
        <f t="shared" si="46"/>
        <v>0.30042215813459056</v>
      </c>
    </row>
    <row r="150" spans="2:7" ht="14.7" customHeight="1" x14ac:dyDescent="0.4">
      <c r="B150" s="89" t="s">
        <v>183</v>
      </c>
      <c r="C150" s="61" t="s">
        <v>37</v>
      </c>
      <c r="D150" s="60">
        <f>SUM(D151:D153)</f>
        <v>28269</v>
      </c>
      <c r="E150" s="60">
        <f t="shared" ref="E150:F150" si="54">SUM(E151:E153)</f>
        <v>28269</v>
      </c>
      <c r="F150" s="60">
        <f t="shared" si="54"/>
        <v>15628.990000000002</v>
      </c>
      <c r="G150" s="68">
        <f t="shared" si="46"/>
        <v>0.55286674449043127</v>
      </c>
    </row>
    <row r="151" spans="2:7" ht="14.7" customHeight="1" x14ac:dyDescent="0.4">
      <c r="B151" s="90" t="s">
        <v>184</v>
      </c>
      <c r="C151" s="61" t="s">
        <v>38</v>
      </c>
      <c r="D151" s="60">
        <v>18272</v>
      </c>
      <c r="E151" s="60">
        <v>18272</v>
      </c>
      <c r="F151" s="60">
        <v>13849.45</v>
      </c>
      <c r="G151" s="68">
        <f t="shared" si="46"/>
        <v>0.7579602670753065</v>
      </c>
    </row>
    <row r="152" spans="2:7" ht="14.7" customHeight="1" x14ac:dyDescent="0.4">
      <c r="B152" s="90" t="s">
        <v>185</v>
      </c>
      <c r="C152" s="61" t="s">
        <v>72</v>
      </c>
      <c r="D152" s="60">
        <v>1725</v>
      </c>
      <c r="E152" s="60">
        <v>1725</v>
      </c>
      <c r="F152" s="60">
        <v>524.54</v>
      </c>
      <c r="G152" s="68">
        <f t="shared" si="46"/>
        <v>0.30408115942028985</v>
      </c>
    </row>
    <row r="153" spans="2:7" ht="14.7" customHeight="1" x14ac:dyDescent="0.4">
      <c r="B153" s="90" t="s">
        <v>186</v>
      </c>
      <c r="C153" s="61" t="s">
        <v>73</v>
      </c>
      <c r="D153" s="60">
        <v>8272</v>
      </c>
      <c r="E153" s="60">
        <v>8272</v>
      </c>
      <c r="F153" s="60">
        <v>1255</v>
      </c>
      <c r="G153" s="68">
        <f t="shared" si="46"/>
        <v>0.15171663442940039</v>
      </c>
    </row>
    <row r="154" spans="2:7" ht="14.7" customHeight="1" x14ac:dyDescent="0.4">
      <c r="B154" s="89" t="s">
        <v>188</v>
      </c>
      <c r="C154" s="61" t="s">
        <v>83</v>
      </c>
      <c r="D154" s="60">
        <f>SUM(D155:D157)</f>
        <v>66684</v>
      </c>
      <c r="E154" s="60">
        <f t="shared" ref="E154:F154" si="55">SUM(E155:E157)</f>
        <v>66684</v>
      </c>
      <c r="F154" s="60">
        <f t="shared" si="55"/>
        <v>13593.58</v>
      </c>
      <c r="G154" s="68">
        <f t="shared" si="46"/>
        <v>0.20385069881830725</v>
      </c>
    </row>
    <row r="155" spans="2:7" ht="14.7" customHeight="1" x14ac:dyDescent="0.4">
      <c r="B155" s="90" t="s">
        <v>96</v>
      </c>
      <c r="C155" s="61" t="s">
        <v>97</v>
      </c>
      <c r="D155" s="60">
        <v>53089</v>
      </c>
      <c r="E155" s="60">
        <v>53089</v>
      </c>
      <c r="F155" s="60">
        <v>0</v>
      </c>
      <c r="G155" s="68">
        <f t="shared" si="46"/>
        <v>0</v>
      </c>
    </row>
    <row r="156" spans="2:7" ht="14.7" customHeight="1" x14ac:dyDescent="0.4">
      <c r="B156" s="90" t="s">
        <v>98</v>
      </c>
      <c r="C156" s="61" t="s">
        <v>99</v>
      </c>
      <c r="D156" s="60">
        <v>13220</v>
      </c>
      <c r="E156" s="60">
        <v>13220</v>
      </c>
      <c r="F156" s="60">
        <v>13219.2</v>
      </c>
      <c r="G156" s="68">
        <f t="shared" si="46"/>
        <v>0.99993948562783663</v>
      </c>
    </row>
    <row r="157" spans="2:7" ht="14.7" customHeight="1" x14ac:dyDescent="0.4">
      <c r="B157" s="90">
        <v>3239</v>
      </c>
      <c r="C157" s="61" t="s">
        <v>101</v>
      </c>
      <c r="D157" s="60">
        <v>375</v>
      </c>
      <c r="E157" s="60">
        <v>375</v>
      </c>
      <c r="F157" s="60">
        <v>374.38</v>
      </c>
      <c r="G157" s="68">
        <f t="shared" si="46"/>
        <v>0.9983466666666666</v>
      </c>
    </row>
    <row r="158" spans="2:7" ht="14.7" customHeight="1" x14ac:dyDescent="0.4">
      <c r="B158" s="89" t="s">
        <v>189</v>
      </c>
      <c r="C158" s="61" t="s">
        <v>109</v>
      </c>
      <c r="D158" s="60">
        <f>D159+D160</f>
        <v>6644</v>
      </c>
      <c r="E158" s="60">
        <f t="shared" ref="E158:F158" si="56">E159+E160</f>
        <v>6644</v>
      </c>
      <c r="F158" s="60">
        <f t="shared" si="56"/>
        <v>1299.42</v>
      </c>
      <c r="G158" s="68">
        <f t="shared" si="46"/>
        <v>0.19557796508127634</v>
      </c>
    </row>
    <row r="159" spans="2:7" ht="14.7" customHeight="1" x14ac:dyDescent="0.4">
      <c r="B159" s="90" t="s">
        <v>112</v>
      </c>
      <c r="C159" s="61" t="s">
        <v>105</v>
      </c>
      <c r="D159" s="60">
        <v>6636</v>
      </c>
      <c r="E159" s="60">
        <v>6636</v>
      </c>
      <c r="F159" s="60">
        <v>1291.92</v>
      </c>
      <c r="G159" s="68">
        <f t="shared" si="46"/>
        <v>0.19468354430379747</v>
      </c>
    </row>
    <row r="160" spans="2:7" ht="14.7" customHeight="1" x14ac:dyDescent="0.4">
      <c r="B160" s="90">
        <v>3299</v>
      </c>
      <c r="C160" s="61" t="s">
        <v>109</v>
      </c>
      <c r="D160" s="60">
        <v>8</v>
      </c>
      <c r="E160" s="60">
        <v>8</v>
      </c>
      <c r="F160" s="60">
        <v>7.5</v>
      </c>
      <c r="G160" s="68">
        <f t="shared" si="46"/>
        <v>0.9375</v>
      </c>
    </row>
    <row r="161" spans="2:7" ht="14.7" customHeight="1" x14ac:dyDescent="0.4">
      <c r="B161" s="88" t="s">
        <v>190</v>
      </c>
      <c r="C161" s="61" t="s">
        <v>117</v>
      </c>
      <c r="D161" s="60">
        <f>D162</f>
        <v>239</v>
      </c>
      <c r="E161" s="60">
        <f t="shared" ref="E161:F162" si="57">E162</f>
        <v>239</v>
      </c>
      <c r="F161" s="60">
        <f t="shared" si="57"/>
        <v>0</v>
      </c>
      <c r="G161" s="68">
        <f t="shared" si="46"/>
        <v>0</v>
      </c>
    </row>
    <row r="162" spans="2:7" ht="14.7" customHeight="1" x14ac:dyDescent="0.4">
      <c r="B162" s="89" t="s">
        <v>191</v>
      </c>
      <c r="C162" s="61" t="s">
        <v>118</v>
      </c>
      <c r="D162" s="60">
        <f>D163</f>
        <v>239</v>
      </c>
      <c r="E162" s="60">
        <f t="shared" si="57"/>
        <v>239</v>
      </c>
      <c r="F162" s="60">
        <f t="shared" si="57"/>
        <v>0</v>
      </c>
      <c r="G162" s="68">
        <f t="shared" si="46"/>
        <v>0</v>
      </c>
    </row>
    <row r="163" spans="2:7" ht="14.7" customHeight="1" x14ac:dyDescent="0.4">
      <c r="B163" s="90" t="s">
        <v>192</v>
      </c>
      <c r="C163" s="61" t="s">
        <v>119</v>
      </c>
      <c r="D163" s="60">
        <v>239</v>
      </c>
      <c r="E163" s="60">
        <v>239</v>
      </c>
      <c r="F163" s="60">
        <v>0</v>
      </c>
      <c r="G163" s="68">
        <f t="shared" si="46"/>
        <v>0</v>
      </c>
    </row>
    <row r="164" spans="2:7" s="51" customFormat="1" ht="14.7" customHeight="1" x14ac:dyDescent="0.4">
      <c r="B164" s="85" t="s">
        <v>213</v>
      </c>
      <c r="C164" s="65" t="s">
        <v>234</v>
      </c>
      <c r="D164" s="64">
        <f>D165</f>
        <v>929</v>
      </c>
      <c r="E164" s="64">
        <f t="shared" ref="E164:F164" si="58">E165</f>
        <v>929</v>
      </c>
      <c r="F164" s="64">
        <f t="shared" si="58"/>
        <v>0</v>
      </c>
      <c r="G164" s="76">
        <f t="shared" si="46"/>
        <v>0</v>
      </c>
    </row>
    <row r="165" spans="2:7" ht="14.7" customHeight="1" x14ac:dyDescent="0.4">
      <c r="B165" s="88" t="s">
        <v>214</v>
      </c>
      <c r="C165" s="61" t="s">
        <v>133</v>
      </c>
      <c r="D165" s="60">
        <f>D166</f>
        <v>929</v>
      </c>
      <c r="E165" s="60">
        <f t="shared" ref="E165:F166" si="59">E166</f>
        <v>929</v>
      </c>
      <c r="F165" s="60">
        <f t="shared" si="59"/>
        <v>0</v>
      </c>
      <c r="G165" s="68">
        <f t="shared" si="46"/>
        <v>0</v>
      </c>
    </row>
    <row r="166" spans="2:7" ht="14.7" customHeight="1" x14ac:dyDescent="0.4">
      <c r="B166" s="89" t="s">
        <v>215</v>
      </c>
      <c r="C166" s="61" t="s">
        <v>134</v>
      </c>
      <c r="D166" s="60">
        <f>D167</f>
        <v>929</v>
      </c>
      <c r="E166" s="60">
        <f t="shared" si="59"/>
        <v>929</v>
      </c>
      <c r="F166" s="60">
        <f t="shared" si="59"/>
        <v>0</v>
      </c>
      <c r="G166" s="68">
        <f t="shared" si="46"/>
        <v>0</v>
      </c>
    </row>
    <row r="167" spans="2:7" ht="14.7" customHeight="1" x14ac:dyDescent="0.4">
      <c r="B167" s="90" t="s">
        <v>216</v>
      </c>
      <c r="C167" s="61" t="s">
        <v>134</v>
      </c>
      <c r="D167" s="60">
        <v>929</v>
      </c>
      <c r="E167" s="60">
        <v>929</v>
      </c>
      <c r="F167" s="60">
        <v>0</v>
      </c>
      <c r="G167" s="68">
        <f t="shared" si="46"/>
        <v>0</v>
      </c>
    </row>
    <row r="168" spans="2:7" s="100" customFormat="1" ht="14.7" customHeight="1" x14ac:dyDescent="0.4">
      <c r="B168" s="96" t="s">
        <v>217</v>
      </c>
      <c r="C168" s="99" t="s">
        <v>235</v>
      </c>
      <c r="D168" s="98">
        <f>D169</f>
        <v>176550</v>
      </c>
      <c r="E168" s="98">
        <f t="shared" ref="E168:F168" si="60">E169</f>
        <v>176550</v>
      </c>
      <c r="F168" s="98">
        <f t="shared" si="60"/>
        <v>169118.41</v>
      </c>
      <c r="G168" s="113">
        <f t="shared" si="46"/>
        <v>0.95790659869725292</v>
      </c>
    </row>
    <row r="169" spans="2:7" ht="14.7" customHeight="1" x14ac:dyDescent="0.4">
      <c r="B169" s="91" t="s">
        <v>197</v>
      </c>
      <c r="C169" s="61" t="s">
        <v>229</v>
      </c>
      <c r="D169" s="60">
        <f>D170</f>
        <v>176550</v>
      </c>
      <c r="E169" s="60">
        <f t="shared" ref="E169:F169" si="61">E170</f>
        <v>176550</v>
      </c>
      <c r="F169" s="60">
        <f t="shared" si="61"/>
        <v>169118.41</v>
      </c>
      <c r="G169" s="68">
        <f t="shared" si="46"/>
        <v>0.95790659869725292</v>
      </c>
    </row>
    <row r="170" spans="2:7" s="51" customFormat="1" ht="14.7" customHeight="1" x14ac:dyDescent="0.4">
      <c r="B170" s="85" t="s">
        <v>174</v>
      </c>
      <c r="C170" s="65" t="s">
        <v>173</v>
      </c>
      <c r="D170" s="64">
        <f>D171</f>
        <v>176550</v>
      </c>
      <c r="E170" s="64">
        <f t="shared" ref="E170:F170" si="62">E171</f>
        <v>176550</v>
      </c>
      <c r="F170" s="64">
        <f t="shared" si="62"/>
        <v>169118.41</v>
      </c>
      <c r="G170" s="76">
        <f t="shared" si="46"/>
        <v>0.95790659869725292</v>
      </c>
    </row>
    <row r="171" spans="2:7" ht="14.7" customHeight="1" x14ac:dyDescent="0.4">
      <c r="B171" s="88" t="s">
        <v>175</v>
      </c>
      <c r="C171" s="61" t="s">
        <v>5</v>
      </c>
      <c r="D171" s="60">
        <f>D172</f>
        <v>176550</v>
      </c>
      <c r="E171" s="60">
        <f t="shared" ref="E171:F171" si="63">E172</f>
        <v>176550</v>
      </c>
      <c r="F171" s="60">
        <f t="shared" si="63"/>
        <v>169118.41</v>
      </c>
      <c r="G171" s="68">
        <f t="shared" si="46"/>
        <v>0.95790659869725292</v>
      </c>
    </row>
    <row r="172" spans="2:7" ht="14.7" customHeight="1" x14ac:dyDescent="0.4">
      <c r="B172" s="89" t="s">
        <v>176</v>
      </c>
      <c r="C172" s="61" t="s">
        <v>35</v>
      </c>
      <c r="D172" s="60">
        <f>SUM(D173:D174)</f>
        <v>176550</v>
      </c>
      <c r="E172" s="60">
        <f t="shared" ref="E172:F172" si="64">SUM(E173:E174)</f>
        <v>176550</v>
      </c>
      <c r="F172" s="60">
        <f t="shared" si="64"/>
        <v>169118.41</v>
      </c>
      <c r="G172" s="68">
        <f t="shared" si="46"/>
        <v>0.95790659869725292</v>
      </c>
    </row>
    <row r="173" spans="2:7" ht="14.7" customHeight="1" x14ac:dyDescent="0.4">
      <c r="B173" s="90" t="s">
        <v>177</v>
      </c>
      <c r="C173" s="61" t="s">
        <v>36</v>
      </c>
      <c r="D173" s="60">
        <v>126290</v>
      </c>
      <c r="E173" s="60">
        <v>126290</v>
      </c>
      <c r="F173" s="60">
        <v>119251.32</v>
      </c>
      <c r="G173" s="68">
        <f t="shared" si="46"/>
        <v>0.94426573758809096</v>
      </c>
    </row>
    <row r="174" spans="2:7" ht="14.7" customHeight="1" x14ac:dyDescent="0.4">
      <c r="B174" s="90">
        <v>3132</v>
      </c>
      <c r="C174" s="61" t="s">
        <v>70</v>
      </c>
      <c r="D174" s="60">
        <v>50260</v>
      </c>
      <c r="E174" s="60">
        <v>50260</v>
      </c>
      <c r="F174" s="60">
        <v>49867.09</v>
      </c>
      <c r="G174" s="68"/>
    </row>
    <row r="175" spans="2:7" s="100" customFormat="1" ht="14.7" customHeight="1" x14ac:dyDescent="0.4">
      <c r="B175" s="96" t="s">
        <v>218</v>
      </c>
      <c r="C175" s="99" t="s">
        <v>236</v>
      </c>
      <c r="D175" s="98">
        <f>D176</f>
        <v>449439</v>
      </c>
      <c r="E175" s="98">
        <f t="shared" ref="E175:F175" si="65">E176</f>
        <v>401327</v>
      </c>
      <c r="F175" s="98">
        <f t="shared" si="65"/>
        <v>379500.52999999997</v>
      </c>
      <c r="G175" s="113">
        <f t="shared" si="46"/>
        <v>0.94561424972653219</v>
      </c>
    </row>
    <row r="176" spans="2:7" ht="14.7" customHeight="1" x14ac:dyDescent="0.4">
      <c r="B176" s="91" t="s">
        <v>197</v>
      </c>
      <c r="C176" s="61" t="s">
        <v>229</v>
      </c>
      <c r="D176" s="60">
        <f>D177</f>
        <v>449439</v>
      </c>
      <c r="E176" s="60">
        <f t="shared" ref="E176:F176" si="66">E177</f>
        <v>401327</v>
      </c>
      <c r="F176" s="60">
        <f t="shared" si="66"/>
        <v>379500.52999999997</v>
      </c>
      <c r="G176" s="68">
        <f t="shared" si="46"/>
        <v>0.94561424972653219</v>
      </c>
    </row>
    <row r="177" spans="2:7" s="51" customFormat="1" ht="14.7" customHeight="1" x14ac:dyDescent="0.4">
      <c r="B177" s="85" t="s">
        <v>174</v>
      </c>
      <c r="C177" s="65" t="s">
        <v>173</v>
      </c>
      <c r="D177" s="64">
        <f>D178+D181+D185</f>
        <v>449439</v>
      </c>
      <c r="E177" s="64">
        <f t="shared" ref="E177:F177" si="67">E178+E181+E185</f>
        <v>401327</v>
      </c>
      <c r="F177" s="64">
        <f t="shared" si="67"/>
        <v>379500.52999999997</v>
      </c>
      <c r="G177" s="76">
        <f t="shared" si="46"/>
        <v>0.94561424972653219</v>
      </c>
    </row>
    <row r="178" spans="2:7" ht="14.7" customHeight="1" x14ac:dyDescent="0.4">
      <c r="B178" s="88" t="s">
        <v>219</v>
      </c>
      <c r="C178" s="61" t="s">
        <v>7</v>
      </c>
      <c r="D178" s="60">
        <f>D179</f>
        <v>33272</v>
      </c>
      <c r="E178" s="60">
        <f t="shared" ref="E178:F179" si="68">E179</f>
        <v>0</v>
      </c>
      <c r="F178" s="60">
        <f t="shared" si="68"/>
        <v>0</v>
      </c>
      <c r="G178" s="68">
        <v>0</v>
      </c>
    </row>
    <row r="179" spans="2:7" ht="14.7" customHeight="1" x14ac:dyDescent="0.4">
      <c r="B179" s="89" t="s">
        <v>220</v>
      </c>
      <c r="C179" s="61" t="s">
        <v>127</v>
      </c>
      <c r="D179" s="60">
        <f>D180</f>
        <v>33272</v>
      </c>
      <c r="E179" s="60">
        <f t="shared" si="68"/>
        <v>0</v>
      </c>
      <c r="F179" s="60">
        <f t="shared" si="68"/>
        <v>0</v>
      </c>
      <c r="G179" s="68">
        <v>0</v>
      </c>
    </row>
    <row r="180" spans="2:7" ht="14.7" customHeight="1" x14ac:dyDescent="0.4">
      <c r="B180" s="90" t="s">
        <v>221</v>
      </c>
      <c r="C180" s="61" t="s">
        <v>128</v>
      </c>
      <c r="D180" s="60">
        <v>33272</v>
      </c>
      <c r="E180" s="60">
        <v>0</v>
      </c>
      <c r="F180" s="60">
        <v>0</v>
      </c>
      <c r="G180" s="68">
        <v>0</v>
      </c>
    </row>
    <row r="181" spans="2:7" ht="14.7" customHeight="1" x14ac:dyDescent="0.4">
      <c r="B181" s="88" t="s">
        <v>203</v>
      </c>
      <c r="C181" s="61" t="s">
        <v>129</v>
      </c>
      <c r="D181" s="60">
        <f>D182</f>
        <v>119360</v>
      </c>
      <c r="E181" s="60">
        <f t="shared" ref="E181:F181" si="69">E182</f>
        <v>119360</v>
      </c>
      <c r="F181" s="60">
        <f t="shared" si="69"/>
        <v>117092.24</v>
      </c>
      <c r="G181" s="68">
        <f t="shared" si="46"/>
        <v>0.9810006702412869</v>
      </c>
    </row>
    <row r="182" spans="2:7" ht="14.7" customHeight="1" x14ac:dyDescent="0.4">
      <c r="B182" s="89" t="s">
        <v>204</v>
      </c>
      <c r="C182" s="61" t="s">
        <v>130</v>
      </c>
      <c r="D182" s="60">
        <f>SUM(D183:D184)</f>
        <v>119360</v>
      </c>
      <c r="E182" s="60">
        <f t="shared" ref="E182:F182" si="70">SUM(E183:E184)</f>
        <v>119360</v>
      </c>
      <c r="F182" s="60">
        <f t="shared" si="70"/>
        <v>117092.24</v>
      </c>
      <c r="G182" s="68">
        <f t="shared" si="46"/>
        <v>0.9810006702412869</v>
      </c>
    </row>
    <row r="183" spans="2:7" ht="14.7" customHeight="1" x14ac:dyDescent="0.4">
      <c r="B183" s="90" t="s">
        <v>205</v>
      </c>
      <c r="C183" s="61" t="s">
        <v>131</v>
      </c>
      <c r="D183" s="60">
        <v>112723</v>
      </c>
      <c r="E183" s="60">
        <v>112723</v>
      </c>
      <c r="F183" s="60">
        <v>111727.96</v>
      </c>
      <c r="G183" s="68">
        <f t="shared" si="46"/>
        <v>0.99117269767483129</v>
      </c>
    </row>
    <row r="184" spans="2:7" ht="14.7" customHeight="1" x14ac:dyDescent="0.4">
      <c r="B184" s="90" t="s">
        <v>206</v>
      </c>
      <c r="C184" s="61" t="s">
        <v>132</v>
      </c>
      <c r="D184" s="60">
        <v>6637</v>
      </c>
      <c r="E184" s="60">
        <v>6637</v>
      </c>
      <c r="F184" s="60">
        <v>5364.28</v>
      </c>
      <c r="G184" s="68">
        <f t="shared" si="46"/>
        <v>0.80823866204610517</v>
      </c>
    </row>
    <row r="185" spans="2:7" ht="14.7" customHeight="1" x14ac:dyDescent="0.4">
      <c r="B185" s="88" t="s">
        <v>214</v>
      </c>
      <c r="C185" s="61" t="s">
        <v>133</v>
      </c>
      <c r="D185" s="60">
        <f>D186</f>
        <v>296807</v>
      </c>
      <c r="E185" s="60">
        <f t="shared" ref="E185:F186" si="71">E186</f>
        <v>281967</v>
      </c>
      <c r="F185" s="60">
        <f t="shared" si="71"/>
        <v>262408.28999999998</v>
      </c>
      <c r="G185" s="68">
        <f t="shared" si="46"/>
        <v>0.93063475513091953</v>
      </c>
    </row>
    <row r="186" spans="2:7" ht="14.7" customHeight="1" x14ac:dyDescent="0.4">
      <c r="B186" s="89" t="s">
        <v>215</v>
      </c>
      <c r="C186" s="61" t="s">
        <v>134</v>
      </c>
      <c r="D186" s="60">
        <f>D187</f>
        <v>296807</v>
      </c>
      <c r="E186" s="60">
        <f t="shared" si="71"/>
        <v>281967</v>
      </c>
      <c r="F186" s="60">
        <f t="shared" si="71"/>
        <v>262408.28999999998</v>
      </c>
      <c r="G186" s="68">
        <f t="shared" si="46"/>
        <v>0.93063475513091953</v>
      </c>
    </row>
    <row r="187" spans="2:7" ht="14.7" customHeight="1" x14ac:dyDescent="0.4">
      <c r="B187" s="90" t="s">
        <v>216</v>
      </c>
      <c r="C187" s="61" t="s">
        <v>134</v>
      </c>
      <c r="D187" s="60">
        <v>296807</v>
      </c>
      <c r="E187" s="60">
        <v>281967</v>
      </c>
      <c r="F187" s="60">
        <v>262408.28999999998</v>
      </c>
      <c r="G187" s="68">
        <f t="shared" si="46"/>
        <v>0.93063475513091953</v>
      </c>
    </row>
    <row r="188" spans="2:7" s="100" customFormat="1" ht="14.7" customHeight="1" x14ac:dyDescent="0.4">
      <c r="B188" s="96" t="s">
        <v>222</v>
      </c>
      <c r="C188" s="99" t="s">
        <v>237</v>
      </c>
      <c r="D188" s="98">
        <f>D190+D219</f>
        <v>2061673</v>
      </c>
      <c r="E188" s="98">
        <f>E190+E219</f>
        <v>2059827</v>
      </c>
      <c r="F188" s="98">
        <f>F190+F219</f>
        <v>2104968.9</v>
      </c>
      <c r="G188" s="113">
        <f t="shared" si="46"/>
        <v>1.021915384156048</v>
      </c>
    </row>
    <row r="189" spans="2:7" ht="14.7" customHeight="1" x14ac:dyDescent="0.4">
      <c r="B189" s="91" t="s">
        <v>197</v>
      </c>
      <c r="C189" s="61" t="s">
        <v>229</v>
      </c>
      <c r="D189" s="60">
        <f>D190+D219</f>
        <v>2061673</v>
      </c>
      <c r="E189" s="60">
        <f>E190+E219</f>
        <v>2059827</v>
      </c>
      <c r="F189" s="60">
        <f>F190+F219</f>
        <v>2104968.9</v>
      </c>
      <c r="G189" s="68">
        <f t="shared" si="46"/>
        <v>1.021915384156048</v>
      </c>
    </row>
    <row r="190" spans="2:7" s="51" customFormat="1" ht="14.7" customHeight="1" x14ac:dyDescent="0.4">
      <c r="B190" s="85" t="s">
        <v>223</v>
      </c>
      <c r="C190" s="65" t="s">
        <v>238</v>
      </c>
      <c r="D190" s="64">
        <f>D191+D196+D210+D213+D216</f>
        <v>313441</v>
      </c>
      <c r="E190" s="64">
        <f>E191+E196+E210+E213+E216</f>
        <v>311595</v>
      </c>
      <c r="F190" s="64">
        <f>F191+F196+F210+F213+F216</f>
        <v>315745.33</v>
      </c>
      <c r="G190" s="76">
        <f t="shared" si="46"/>
        <v>1.0133196296474591</v>
      </c>
    </row>
    <row r="191" spans="2:7" ht="14.7" customHeight="1" x14ac:dyDescent="0.4">
      <c r="B191" s="88" t="s">
        <v>175</v>
      </c>
      <c r="C191" s="61" t="s">
        <v>5</v>
      </c>
      <c r="D191" s="60">
        <f>D192+D194</f>
        <v>11615</v>
      </c>
      <c r="E191" s="60">
        <f t="shared" ref="E191:F191" si="72">E192+E194</f>
        <v>10636</v>
      </c>
      <c r="F191" s="60">
        <f t="shared" si="72"/>
        <v>10539.71</v>
      </c>
      <c r="G191" s="68">
        <f t="shared" si="46"/>
        <v>0.99094678450545315</v>
      </c>
    </row>
    <row r="192" spans="2:7" ht="14.7" customHeight="1" x14ac:dyDescent="0.4">
      <c r="B192" s="89" t="s">
        <v>176</v>
      </c>
      <c r="C192" s="61" t="s">
        <v>35</v>
      </c>
      <c r="D192" s="60">
        <f>D193</f>
        <v>10026</v>
      </c>
      <c r="E192" s="60">
        <f t="shared" ref="E192:F192" si="73">E193</f>
        <v>9047</v>
      </c>
      <c r="F192" s="60">
        <f t="shared" si="73"/>
        <v>9046.98</v>
      </c>
      <c r="G192" s="68">
        <f t="shared" si="46"/>
        <v>0.99999778932242722</v>
      </c>
    </row>
    <row r="193" spans="2:7" ht="14.7" customHeight="1" x14ac:dyDescent="0.4">
      <c r="B193" s="90" t="s">
        <v>177</v>
      </c>
      <c r="C193" s="61" t="s">
        <v>36</v>
      </c>
      <c r="D193" s="60">
        <v>10026</v>
      </c>
      <c r="E193" s="60">
        <v>9047</v>
      </c>
      <c r="F193" s="60">
        <v>9046.98</v>
      </c>
      <c r="G193" s="68">
        <f t="shared" si="46"/>
        <v>0.99999778932242722</v>
      </c>
    </row>
    <row r="194" spans="2:7" ht="14.7" customHeight="1" x14ac:dyDescent="0.4">
      <c r="B194" s="89" t="s">
        <v>180</v>
      </c>
      <c r="C194" s="61" t="s">
        <v>69</v>
      </c>
      <c r="D194" s="60">
        <f>D195</f>
        <v>1589</v>
      </c>
      <c r="E194" s="60">
        <f t="shared" ref="E194:F194" si="74">E195</f>
        <v>1589</v>
      </c>
      <c r="F194" s="60">
        <f t="shared" si="74"/>
        <v>1492.73</v>
      </c>
      <c r="G194" s="68">
        <f t="shared" si="46"/>
        <v>0.93941472624292011</v>
      </c>
    </row>
    <row r="195" spans="2:7" ht="14.7" customHeight="1" x14ac:dyDescent="0.4">
      <c r="B195" s="90" t="s">
        <v>181</v>
      </c>
      <c r="C195" s="61" t="s">
        <v>70</v>
      </c>
      <c r="D195" s="60">
        <v>1589</v>
      </c>
      <c r="E195" s="60">
        <v>1589</v>
      </c>
      <c r="F195" s="60">
        <v>1492.73</v>
      </c>
      <c r="G195" s="68">
        <f t="shared" si="46"/>
        <v>0.93941472624292011</v>
      </c>
    </row>
    <row r="196" spans="2:7" ht="14.7" customHeight="1" x14ac:dyDescent="0.4">
      <c r="B196" s="88" t="s">
        <v>182</v>
      </c>
      <c r="C196" s="61" t="s">
        <v>14</v>
      </c>
      <c r="D196" s="60">
        <f>D197+D199+D202+D208</f>
        <v>47467</v>
      </c>
      <c r="E196" s="60">
        <f>E197+E199+E202+E208</f>
        <v>46600</v>
      </c>
      <c r="F196" s="60">
        <f>F197+F199+F202+F208</f>
        <v>46388.42</v>
      </c>
      <c r="G196" s="68">
        <f t="shared" si="46"/>
        <v>0.99545965665236047</v>
      </c>
    </row>
    <row r="197" spans="2:7" ht="14.7" customHeight="1" x14ac:dyDescent="0.4">
      <c r="B197" s="89" t="s">
        <v>183</v>
      </c>
      <c r="C197" s="61" t="s">
        <v>37</v>
      </c>
      <c r="D197" s="60">
        <f>SUM(D198:D198)</f>
        <v>2748</v>
      </c>
      <c r="E197" s="60">
        <f>SUM(E198:E198)</f>
        <v>2430</v>
      </c>
      <c r="F197" s="60">
        <f>SUM(F198:F198)</f>
        <v>2420.63</v>
      </c>
      <c r="G197" s="68">
        <f t="shared" si="46"/>
        <v>0.99614403292181075</v>
      </c>
    </row>
    <row r="198" spans="2:7" ht="14.7" customHeight="1" x14ac:dyDescent="0.4">
      <c r="B198" s="90" t="s">
        <v>184</v>
      </c>
      <c r="C198" s="61" t="s">
        <v>38</v>
      </c>
      <c r="D198" s="60">
        <v>2748</v>
      </c>
      <c r="E198" s="60">
        <v>2430</v>
      </c>
      <c r="F198" s="60">
        <v>2420.63</v>
      </c>
      <c r="G198" s="68">
        <f t="shared" si="46"/>
        <v>0.99614403292181075</v>
      </c>
    </row>
    <row r="199" spans="2:7" ht="14.7" customHeight="1" x14ac:dyDescent="0.4">
      <c r="B199" s="89" t="s">
        <v>187</v>
      </c>
      <c r="C199" s="61" t="s">
        <v>74</v>
      </c>
      <c r="D199" s="60">
        <f>SUM(D200:D201)</f>
        <v>18364</v>
      </c>
      <c r="E199" s="60">
        <f t="shared" ref="E199:F199" si="75">SUM(E200:E201)</f>
        <v>18364</v>
      </c>
      <c r="F199" s="60">
        <f t="shared" si="75"/>
        <v>18354.099999999999</v>
      </c>
      <c r="G199" s="68">
        <f t="shared" ref="G199:G261" si="76">F199/E199</f>
        <v>0.99946090176432145</v>
      </c>
    </row>
    <row r="200" spans="2:7" ht="14.7" customHeight="1" x14ac:dyDescent="0.4">
      <c r="B200" s="90" t="s">
        <v>75</v>
      </c>
      <c r="C200" s="61" t="s">
        <v>76</v>
      </c>
      <c r="D200" s="60">
        <v>342</v>
      </c>
      <c r="E200" s="60">
        <v>342</v>
      </c>
      <c r="F200" s="60">
        <v>332.12</v>
      </c>
      <c r="G200" s="68">
        <f t="shared" si="76"/>
        <v>0.97111111111111115</v>
      </c>
    </row>
    <row r="201" spans="2:7" ht="14.7" customHeight="1" x14ac:dyDescent="0.4">
      <c r="B201" s="90" t="s">
        <v>77</v>
      </c>
      <c r="C201" s="61" t="s">
        <v>78</v>
      </c>
      <c r="D201" s="60">
        <v>18022</v>
      </c>
      <c r="E201" s="60">
        <v>18022</v>
      </c>
      <c r="F201" s="60">
        <v>18021.98</v>
      </c>
      <c r="G201" s="68">
        <f t="shared" si="76"/>
        <v>0.99999889024525579</v>
      </c>
    </row>
    <row r="202" spans="2:7" ht="14.7" customHeight="1" x14ac:dyDescent="0.4">
      <c r="B202" s="89" t="s">
        <v>188</v>
      </c>
      <c r="C202" s="61" t="s">
        <v>83</v>
      </c>
      <c r="D202" s="60">
        <f>SUM(D203:D207)</f>
        <v>22794</v>
      </c>
      <c r="E202" s="60">
        <f t="shared" ref="E202:F202" si="77">SUM(E203:E207)</f>
        <v>22245</v>
      </c>
      <c r="F202" s="60">
        <f t="shared" si="77"/>
        <v>22053.22</v>
      </c>
      <c r="G202" s="68">
        <f t="shared" si="76"/>
        <v>0.99137873679478539</v>
      </c>
    </row>
    <row r="203" spans="2:7" ht="14.7" customHeight="1" x14ac:dyDescent="0.4">
      <c r="B203" s="90" t="s">
        <v>88</v>
      </c>
      <c r="C203" s="61" t="s">
        <v>89</v>
      </c>
      <c r="D203" s="60">
        <v>75</v>
      </c>
      <c r="E203" s="60">
        <v>75</v>
      </c>
      <c r="F203" s="60">
        <v>75</v>
      </c>
      <c r="G203" s="68">
        <v>0</v>
      </c>
    </row>
    <row r="204" spans="2:7" ht="14.7" customHeight="1" x14ac:dyDescent="0.4">
      <c r="B204" s="90" t="s">
        <v>90</v>
      </c>
      <c r="C204" s="61" t="s">
        <v>91</v>
      </c>
      <c r="D204" s="60">
        <v>352</v>
      </c>
      <c r="E204" s="60">
        <v>352</v>
      </c>
      <c r="F204" s="60">
        <v>332.12</v>
      </c>
      <c r="G204" s="68">
        <f t="shared" si="76"/>
        <v>0.94352272727272724</v>
      </c>
    </row>
    <row r="205" spans="2:7" ht="14.7" customHeight="1" x14ac:dyDescent="0.4">
      <c r="B205" s="90" t="s">
        <v>92</v>
      </c>
      <c r="C205" s="61" t="s">
        <v>93</v>
      </c>
      <c r="D205" s="60">
        <v>8934</v>
      </c>
      <c r="E205" s="60">
        <v>8934</v>
      </c>
      <c r="F205" s="60">
        <v>8798.9599999999991</v>
      </c>
      <c r="G205" s="68">
        <f t="shared" si="76"/>
        <v>0.98488471009626133</v>
      </c>
    </row>
    <row r="206" spans="2:7" ht="14.7" customHeight="1" x14ac:dyDescent="0.4">
      <c r="B206" s="90" t="s">
        <v>96</v>
      </c>
      <c r="C206" s="61" t="s">
        <v>97</v>
      </c>
      <c r="D206" s="60">
        <v>7327</v>
      </c>
      <c r="E206" s="60">
        <v>6778</v>
      </c>
      <c r="F206" s="60">
        <v>6777.23</v>
      </c>
      <c r="G206" s="68">
        <f t="shared" si="76"/>
        <v>0.99988639716730587</v>
      </c>
    </row>
    <row r="207" spans="2:7" ht="14.7" customHeight="1" x14ac:dyDescent="0.4">
      <c r="B207" s="90" t="s">
        <v>100</v>
      </c>
      <c r="C207" s="61" t="s">
        <v>101</v>
      </c>
      <c r="D207" s="60">
        <v>6106</v>
      </c>
      <c r="E207" s="60">
        <v>6106</v>
      </c>
      <c r="F207" s="60">
        <v>6069.91</v>
      </c>
      <c r="G207" s="68">
        <f t="shared" si="76"/>
        <v>0.99408942024238456</v>
      </c>
    </row>
    <row r="208" spans="2:7" ht="14.7" customHeight="1" x14ac:dyDescent="0.4">
      <c r="B208" s="89" t="s">
        <v>189</v>
      </c>
      <c r="C208" s="61" t="s">
        <v>109</v>
      </c>
      <c r="D208" s="60">
        <f>D209</f>
        <v>3561</v>
      </c>
      <c r="E208" s="60">
        <f t="shared" ref="E208:F208" si="78">E209</f>
        <v>3561</v>
      </c>
      <c r="F208" s="60">
        <f t="shared" si="78"/>
        <v>3560.47</v>
      </c>
      <c r="G208" s="68">
        <f t="shared" si="76"/>
        <v>0.99985116540297658</v>
      </c>
    </row>
    <row r="209" spans="2:7" ht="14.7" customHeight="1" x14ac:dyDescent="0.4">
      <c r="B209" s="90" t="s">
        <v>112</v>
      </c>
      <c r="C209" s="61" t="s">
        <v>105</v>
      </c>
      <c r="D209" s="60">
        <v>3561</v>
      </c>
      <c r="E209" s="60">
        <v>3561</v>
      </c>
      <c r="F209" s="60">
        <v>3560.47</v>
      </c>
      <c r="G209" s="68">
        <f t="shared" si="76"/>
        <v>0.99985116540297658</v>
      </c>
    </row>
    <row r="210" spans="2:7" ht="14.7" customHeight="1" x14ac:dyDescent="0.4">
      <c r="B210" s="88" t="s">
        <v>219</v>
      </c>
      <c r="C210" s="61" t="s">
        <v>7</v>
      </c>
      <c r="D210" s="60">
        <f>D211</f>
        <v>13888</v>
      </c>
      <c r="E210" s="60">
        <f t="shared" ref="E210:F211" si="79">E211</f>
        <v>13888</v>
      </c>
      <c r="F210" s="60">
        <f t="shared" si="79"/>
        <v>13887.3</v>
      </c>
      <c r="G210" s="68">
        <f t="shared" si="76"/>
        <v>0.99994959677419348</v>
      </c>
    </row>
    <row r="211" spans="2:7" ht="14.7" customHeight="1" x14ac:dyDescent="0.4">
      <c r="B211" s="89" t="s">
        <v>220</v>
      </c>
      <c r="C211" s="61" t="s">
        <v>127</v>
      </c>
      <c r="D211" s="60">
        <f>D212</f>
        <v>13888</v>
      </c>
      <c r="E211" s="60">
        <f t="shared" si="79"/>
        <v>13888</v>
      </c>
      <c r="F211" s="60">
        <f t="shared" si="79"/>
        <v>13887.3</v>
      </c>
      <c r="G211" s="68">
        <f t="shared" si="76"/>
        <v>0.99994959677419348</v>
      </c>
    </row>
    <row r="212" spans="2:7" ht="14.7" customHeight="1" x14ac:dyDescent="0.4">
      <c r="B212" s="90" t="s">
        <v>221</v>
      </c>
      <c r="C212" s="61" t="s">
        <v>128</v>
      </c>
      <c r="D212" s="60">
        <v>13888</v>
      </c>
      <c r="E212" s="60">
        <v>13888</v>
      </c>
      <c r="F212" s="60">
        <v>13887.3</v>
      </c>
      <c r="G212" s="68">
        <f t="shared" si="76"/>
        <v>0.99994959677419348</v>
      </c>
    </row>
    <row r="213" spans="2:7" ht="14.7" customHeight="1" x14ac:dyDescent="0.4">
      <c r="B213" s="88" t="s">
        <v>203</v>
      </c>
      <c r="C213" s="61" t="s">
        <v>129</v>
      </c>
      <c r="D213" s="60">
        <f>D214</f>
        <v>235148</v>
      </c>
      <c r="E213" s="60">
        <f t="shared" ref="E213:F214" si="80">E214</f>
        <v>235148</v>
      </c>
      <c r="F213" s="60">
        <f t="shared" si="80"/>
        <v>239607.2</v>
      </c>
      <c r="G213" s="68">
        <f t="shared" si="76"/>
        <v>1.0189633762566555</v>
      </c>
    </row>
    <row r="214" spans="2:7" ht="14.7" customHeight="1" x14ac:dyDescent="0.4">
      <c r="B214" s="89" t="s">
        <v>204</v>
      </c>
      <c r="C214" s="61" t="s">
        <v>130</v>
      </c>
      <c r="D214" s="60">
        <f>D215</f>
        <v>235148</v>
      </c>
      <c r="E214" s="60">
        <f t="shared" si="80"/>
        <v>235148</v>
      </c>
      <c r="F214" s="60">
        <f t="shared" si="80"/>
        <v>239607.2</v>
      </c>
      <c r="G214" s="68">
        <f t="shared" si="76"/>
        <v>1.0189633762566555</v>
      </c>
    </row>
    <row r="215" spans="2:7" ht="14.7" customHeight="1" x14ac:dyDescent="0.4">
      <c r="B215" s="90" t="s">
        <v>205</v>
      </c>
      <c r="C215" s="61" t="s">
        <v>131</v>
      </c>
      <c r="D215" s="60">
        <v>235148</v>
      </c>
      <c r="E215" s="60">
        <v>235148</v>
      </c>
      <c r="F215" s="60">
        <v>239607.2</v>
      </c>
      <c r="G215" s="68">
        <f t="shared" si="76"/>
        <v>1.0189633762566555</v>
      </c>
    </row>
    <row r="216" spans="2:7" ht="14.7" customHeight="1" x14ac:dyDescent="0.4">
      <c r="B216" s="88" t="s">
        <v>214</v>
      </c>
      <c r="C216" s="61" t="s">
        <v>133</v>
      </c>
      <c r="D216" s="60">
        <f>D217</f>
        <v>5323</v>
      </c>
      <c r="E216" s="60">
        <f t="shared" ref="E216:F217" si="81">E217</f>
        <v>5323</v>
      </c>
      <c r="F216" s="60">
        <f t="shared" si="81"/>
        <v>5322.7</v>
      </c>
      <c r="G216" s="68">
        <f t="shared" si="76"/>
        <v>0.99994364080405784</v>
      </c>
    </row>
    <row r="217" spans="2:7" ht="14.7" customHeight="1" x14ac:dyDescent="0.4">
      <c r="B217" s="89" t="s">
        <v>215</v>
      </c>
      <c r="C217" s="61" t="s">
        <v>134</v>
      </c>
      <c r="D217" s="60">
        <f>D218</f>
        <v>5323</v>
      </c>
      <c r="E217" s="60">
        <f t="shared" si="81"/>
        <v>5323</v>
      </c>
      <c r="F217" s="60">
        <f t="shared" si="81"/>
        <v>5322.7</v>
      </c>
      <c r="G217" s="68">
        <f t="shared" si="76"/>
        <v>0.99994364080405784</v>
      </c>
    </row>
    <row r="218" spans="2:7" ht="14.7" customHeight="1" x14ac:dyDescent="0.4">
      <c r="B218" s="90" t="s">
        <v>216</v>
      </c>
      <c r="C218" s="61" t="s">
        <v>134</v>
      </c>
      <c r="D218" s="60">
        <v>5323</v>
      </c>
      <c r="E218" s="60">
        <v>5323</v>
      </c>
      <c r="F218" s="60">
        <v>5322.7</v>
      </c>
      <c r="G218" s="68">
        <f t="shared" si="76"/>
        <v>0.99994364080405784</v>
      </c>
    </row>
    <row r="219" spans="2:7" s="51" customFormat="1" ht="14.7" customHeight="1" x14ac:dyDescent="0.4">
      <c r="B219" s="85" t="s">
        <v>224</v>
      </c>
      <c r="C219" s="65" t="s">
        <v>239</v>
      </c>
      <c r="D219" s="64">
        <f>D220+D225+D239+D242+D245</f>
        <v>1748232</v>
      </c>
      <c r="E219" s="64">
        <f>E220+E225+E239+E242+E245</f>
        <v>1748232</v>
      </c>
      <c r="F219" s="64">
        <f>F220+F225+F239+F242+F245</f>
        <v>1789223.57</v>
      </c>
      <c r="G219" s="76">
        <f t="shared" si="76"/>
        <v>1.023447442902315</v>
      </c>
    </row>
    <row r="220" spans="2:7" ht="14.7" customHeight="1" x14ac:dyDescent="0.4">
      <c r="B220" s="88" t="s">
        <v>175</v>
      </c>
      <c r="C220" s="61" t="s">
        <v>5</v>
      </c>
      <c r="D220" s="60">
        <f>D221+D223</f>
        <v>60686</v>
      </c>
      <c r="E220" s="60">
        <f t="shared" ref="E220:F220" si="82">E221+E223</f>
        <v>60686</v>
      </c>
      <c r="F220" s="60">
        <f t="shared" si="82"/>
        <v>59725.14</v>
      </c>
      <c r="G220" s="68">
        <f t="shared" si="76"/>
        <v>0.98416669413044189</v>
      </c>
    </row>
    <row r="221" spans="2:7" ht="14.7" customHeight="1" x14ac:dyDescent="0.4">
      <c r="B221" s="89" t="s">
        <v>176</v>
      </c>
      <c r="C221" s="61" t="s">
        <v>35</v>
      </c>
      <c r="D221" s="60">
        <f>D222</f>
        <v>52147</v>
      </c>
      <c r="E221" s="60">
        <f t="shared" ref="E221:F221" si="83">E222</f>
        <v>52147</v>
      </c>
      <c r="F221" s="60">
        <f t="shared" si="83"/>
        <v>51266.22</v>
      </c>
      <c r="G221" s="68">
        <f t="shared" si="76"/>
        <v>0.98310967073848932</v>
      </c>
    </row>
    <row r="222" spans="2:7" ht="14.7" customHeight="1" x14ac:dyDescent="0.4">
      <c r="B222" s="90" t="s">
        <v>177</v>
      </c>
      <c r="C222" s="61" t="s">
        <v>36</v>
      </c>
      <c r="D222" s="60">
        <v>52147</v>
      </c>
      <c r="E222" s="60">
        <v>52147</v>
      </c>
      <c r="F222" s="60">
        <v>51266.22</v>
      </c>
      <c r="G222" s="68">
        <f t="shared" si="76"/>
        <v>0.98310967073848932</v>
      </c>
    </row>
    <row r="223" spans="2:7" ht="14.7" customHeight="1" x14ac:dyDescent="0.4">
      <c r="B223" s="89" t="s">
        <v>180</v>
      </c>
      <c r="C223" s="61" t="s">
        <v>69</v>
      </c>
      <c r="D223" s="60">
        <f>D224</f>
        <v>8539</v>
      </c>
      <c r="E223" s="60">
        <f>E224</f>
        <v>8539</v>
      </c>
      <c r="F223" s="60">
        <f t="shared" ref="F223" si="84">F224</f>
        <v>8458.92</v>
      </c>
      <c r="G223" s="68">
        <f t="shared" si="76"/>
        <v>0.99062185267595737</v>
      </c>
    </row>
    <row r="224" spans="2:7" ht="14.7" customHeight="1" x14ac:dyDescent="0.4">
      <c r="B224" s="90" t="s">
        <v>181</v>
      </c>
      <c r="C224" s="61" t="s">
        <v>70</v>
      </c>
      <c r="D224" s="60">
        <v>8539</v>
      </c>
      <c r="E224" s="60">
        <v>8539</v>
      </c>
      <c r="F224" s="60">
        <v>8458.92</v>
      </c>
      <c r="G224" s="68">
        <f t="shared" si="76"/>
        <v>0.99062185267595737</v>
      </c>
    </row>
    <row r="225" spans="2:7" ht="14.7" customHeight="1" x14ac:dyDescent="0.4">
      <c r="B225" s="88" t="s">
        <v>182</v>
      </c>
      <c r="C225" s="61" t="s">
        <v>14</v>
      </c>
      <c r="D225" s="60">
        <f>D226+D228+D231+D237</f>
        <v>267349</v>
      </c>
      <c r="E225" s="60">
        <f>E226+E228+E231+E237</f>
        <v>267349</v>
      </c>
      <c r="F225" s="60">
        <f>F226+F228+F231+F237</f>
        <v>262867.74</v>
      </c>
      <c r="G225" s="68">
        <f t="shared" si="76"/>
        <v>0.98323816434697708</v>
      </c>
    </row>
    <row r="226" spans="2:7" ht="14.7" customHeight="1" x14ac:dyDescent="0.4">
      <c r="B226" s="89" t="s">
        <v>183</v>
      </c>
      <c r="C226" s="61" t="s">
        <v>37</v>
      </c>
      <c r="D226" s="60">
        <f>SUM(D227:D227)</f>
        <v>14241</v>
      </c>
      <c r="E226" s="60">
        <f>SUM(E227:E227)</f>
        <v>14241</v>
      </c>
      <c r="F226" s="60">
        <f>SUM(F227:F227)</f>
        <v>13717.04</v>
      </c>
      <c r="G226" s="68">
        <f t="shared" si="76"/>
        <v>0.96320763991292757</v>
      </c>
    </row>
    <row r="227" spans="2:7" ht="14.7" customHeight="1" x14ac:dyDescent="0.4">
      <c r="B227" s="90" t="s">
        <v>184</v>
      </c>
      <c r="C227" s="61" t="s">
        <v>38</v>
      </c>
      <c r="D227" s="60">
        <v>14241</v>
      </c>
      <c r="E227" s="60">
        <v>14241</v>
      </c>
      <c r="F227" s="60">
        <v>13717.04</v>
      </c>
      <c r="G227" s="68">
        <f t="shared" si="76"/>
        <v>0.96320763991292757</v>
      </c>
    </row>
    <row r="228" spans="2:7" ht="14.7" customHeight="1" x14ac:dyDescent="0.4">
      <c r="B228" s="89" t="s">
        <v>187</v>
      </c>
      <c r="C228" s="61" t="s">
        <v>74</v>
      </c>
      <c r="D228" s="60">
        <f>SUM(D229:D230)</f>
        <v>104062</v>
      </c>
      <c r="E228" s="60">
        <f t="shared" ref="E228:F228" si="85">SUM(E229:E230)</f>
        <v>104062</v>
      </c>
      <c r="F228" s="60">
        <f t="shared" si="85"/>
        <v>104006.58</v>
      </c>
      <c r="G228" s="68">
        <f t="shared" si="76"/>
        <v>0.99946743287655437</v>
      </c>
    </row>
    <row r="229" spans="2:7" ht="14.7" customHeight="1" x14ac:dyDescent="0.4">
      <c r="B229" s="90" t="s">
        <v>75</v>
      </c>
      <c r="C229" s="61" t="s">
        <v>76</v>
      </c>
      <c r="D229" s="60">
        <v>1937</v>
      </c>
      <c r="E229" s="60">
        <v>1937</v>
      </c>
      <c r="F229" s="60">
        <v>1882.03</v>
      </c>
      <c r="G229" s="68">
        <f t="shared" si="76"/>
        <v>0.97162106350025812</v>
      </c>
    </row>
    <row r="230" spans="2:7" ht="14.7" customHeight="1" x14ac:dyDescent="0.4">
      <c r="B230" s="90" t="s">
        <v>77</v>
      </c>
      <c r="C230" s="61" t="s">
        <v>78</v>
      </c>
      <c r="D230" s="60">
        <v>102125</v>
      </c>
      <c r="E230" s="60">
        <v>102125</v>
      </c>
      <c r="F230" s="60">
        <v>102124.55</v>
      </c>
      <c r="G230" s="68">
        <f t="shared" si="76"/>
        <v>0.99999559363525092</v>
      </c>
    </row>
    <row r="231" spans="2:7" ht="14.7" customHeight="1" x14ac:dyDescent="0.4">
      <c r="B231" s="89" t="s">
        <v>188</v>
      </c>
      <c r="C231" s="61" t="s">
        <v>83</v>
      </c>
      <c r="D231" s="60">
        <f>SUM(D232:D236)</f>
        <v>128870</v>
      </c>
      <c r="E231" s="60">
        <f t="shared" ref="E231:F231" si="86">SUM(E232:E236)</f>
        <v>128870</v>
      </c>
      <c r="F231" s="60">
        <f t="shared" si="86"/>
        <v>124968.14000000001</v>
      </c>
      <c r="G231" s="68">
        <f t="shared" si="76"/>
        <v>0.96972251105765506</v>
      </c>
    </row>
    <row r="232" spans="2:7" ht="14.7" customHeight="1" x14ac:dyDescent="0.4">
      <c r="B232" s="90" t="s">
        <v>88</v>
      </c>
      <c r="C232" s="61" t="s">
        <v>89</v>
      </c>
      <c r="D232" s="60">
        <v>425</v>
      </c>
      <c r="E232" s="60">
        <v>425</v>
      </c>
      <c r="F232" s="60">
        <v>425</v>
      </c>
      <c r="G232" s="68">
        <v>0</v>
      </c>
    </row>
    <row r="233" spans="2:7" ht="14.7" customHeight="1" x14ac:dyDescent="0.4">
      <c r="B233" s="90" t="s">
        <v>90</v>
      </c>
      <c r="C233" s="61" t="s">
        <v>91</v>
      </c>
      <c r="D233" s="60">
        <v>2111</v>
      </c>
      <c r="E233" s="60">
        <v>2111</v>
      </c>
      <c r="F233" s="60">
        <v>1882.03</v>
      </c>
      <c r="G233" s="68">
        <f t="shared" si="76"/>
        <v>0.89153481762198006</v>
      </c>
    </row>
    <row r="234" spans="2:7" ht="14.7" customHeight="1" x14ac:dyDescent="0.4">
      <c r="B234" s="90" t="s">
        <v>92</v>
      </c>
      <c r="C234" s="61" t="s">
        <v>93</v>
      </c>
      <c r="D234" s="60">
        <v>50126</v>
      </c>
      <c r="E234" s="60">
        <v>50126</v>
      </c>
      <c r="F234" s="60">
        <v>49860.72</v>
      </c>
      <c r="G234" s="68">
        <f t="shared" si="76"/>
        <v>0.9947077365040099</v>
      </c>
    </row>
    <row r="235" spans="2:7" ht="14.7" customHeight="1" x14ac:dyDescent="0.4">
      <c r="B235" s="90" t="s">
        <v>96</v>
      </c>
      <c r="C235" s="61" t="s">
        <v>97</v>
      </c>
      <c r="D235" s="60">
        <v>41405</v>
      </c>
      <c r="E235" s="60">
        <v>41405</v>
      </c>
      <c r="F235" s="60">
        <v>38404.26</v>
      </c>
      <c r="G235" s="68">
        <f t="shared" si="76"/>
        <v>0.92752711025238499</v>
      </c>
    </row>
    <row r="236" spans="2:7" ht="14.7" customHeight="1" x14ac:dyDescent="0.4">
      <c r="B236" s="90" t="s">
        <v>100</v>
      </c>
      <c r="C236" s="61" t="s">
        <v>101</v>
      </c>
      <c r="D236" s="60">
        <v>34803</v>
      </c>
      <c r="E236" s="60">
        <v>34803</v>
      </c>
      <c r="F236" s="60">
        <v>34396.129999999997</v>
      </c>
      <c r="G236" s="68">
        <f t="shared" si="76"/>
        <v>0.98830934114875146</v>
      </c>
    </row>
    <row r="237" spans="2:7" ht="14.7" customHeight="1" x14ac:dyDescent="0.4">
      <c r="B237" s="89" t="s">
        <v>189</v>
      </c>
      <c r="C237" s="61" t="s">
        <v>109</v>
      </c>
      <c r="D237" s="60">
        <f>D238</f>
        <v>20176</v>
      </c>
      <c r="E237" s="60">
        <f t="shared" ref="E237:F237" si="87">E238</f>
        <v>20176</v>
      </c>
      <c r="F237" s="60">
        <f t="shared" si="87"/>
        <v>20175.98</v>
      </c>
      <c r="G237" s="68">
        <f t="shared" si="76"/>
        <v>0.99999900872323555</v>
      </c>
    </row>
    <row r="238" spans="2:7" ht="14.7" customHeight="1" x14ac:dyDescent="0.4">
      <c r="B238" s="90" t="s">
        <v>112</v>
      </c>
      <c r="C238" s="61" t="s">
        <v>105</v>
      </c>
      <c r="D238" s="60">
        <v>20176</v>
      </c>
      <c r="E238" s="60">
        <v>20176</v>
      </c>
      <c r="F238" s="60">
        <v>20175.98</v>
      </c>
      <c r="G238" s="68">
        <f t="shared" si="76"/>
        <v>0.99999900872323555</v>
      </c>
    </row>
    <row r="239" spans="2:7" ht="14.7" customHeight="1" x14ac:dyDescent="0.4">
      <c r="B239" s="88" t="s">
        <v>219</v>
      </c>
      <c r="C239" s="61" t="s">
        <v>7</v>
      </c>
      <c r="D239" s="60">
        <f>D240</f>
        <v>78695</v>
      </c>
      <c r="E239" s="60">
        <f t="shared" ref="E239:F240" si="88">E240</f>
        <v>78695</v>
      </c>
      <c r="F239" s="60">
        <f t="shared" si="88"/>
        <v>78694.67</v>
      </c>
      <c r="G239" s="68">
        <f t="shared" si="76"/>
        <v>0.99999580659508225</v>
      </c>
    </row>
    <row r="240" spans="2:7" ht="14.7" customHeight="1" x14ac:dyDescent="0.4">
      <c r="B240" s="89" t="s">
        <v>220</v>
      </c>
      <c r="C240" s="61" t="s">
        <v>127</v>
      </c>
      <c r="D240" s="60">
        <f>D241</f>
        <v>78695</v>
      </c>
      <c r="E240" s="60">
        <f t="shared" si="88"/>
        <v>78695</v>
      </c>
      <c r="F240" s="60">
        <f t="shared" si="88"/>
        <v>78694.67</v>
      </c>
      <c r="G240" s="68">
        <f t="shared" si="76"/>
        <v>0.99999580659508225</v>
      </c>
    </row>
    <row r="241" spans="2:7" ht="14.7" customHeight="1" x14ac:dyDescent="0.4">
      <c r="B241" s="90" t="s">
        <v>221</v>
      </c>
      <c r="C241" s="61" t="s">
        <v>128</v>
      </c>
      <c r="D241" s="60">
        <v>78695</v>
      </c>
      <c r="E241" s="60">
        <v>78695</v>
      </c>
      <c r="F241" s="60">
        <v>78694.67</v>
      </c>
      <c r="G241" s="68">
        <f t="shared" si="76"/>
        <v>0.99999580659508225</v>
      </c>
    </row>
    <row r="242" spans="2:7" ht="14.7" customHeight="1" x14ac:dyDescent="0.4">
      <c r="B242" s="88" t="s">
        <v>203</v>
      </c>
      <c r="C242" s="61" t="s">
        <v>129</v>
      </c>
      <c r="D242" s="60">
        <f>D243</f>
        <v>1332504</v>
      </c>
      <c r="E242" s="60">
        <f t="shared" ref="E242:F243" si="89">E243</f>
        <v>1332504</v>
      </c>
      <c r="F242" s="60">
        <f t="shared" si="89"/>
        <v>1357774.03</v>
      </c>
      <c r="G242" s="68">
        <f t="shared" si="76"/>
        <v>1.0189643183059864</v>
      </c>
    </row>
    <row r="243" spans="2:7" ht="14.7" customHeight="1" x14ac:dyDescent="0.4">
      <c r="B243" s="89" t="s">
        <v>204</v>
      </c>
      <c r="C243" s="61" t="s">
        <v>130</v>
      </c>
      <c r="D243" s="60">
        <f>D244</f>
        <v>1332504</v>
      </c>
      <c r="E243" s="60">
        <f t="shared" si="89"/>
        <v>1332504</v>
      </c>
      <c r="F243" s="60">
        <f t="shared" si="89"/>
        <v>1357774.03</v>
      </c>
      <c r="G243" s="68">
        <f t="shared" si="76"/>
        <v>1.0189643183059864</v>
      </c>
    </row>
    <row r="244" spans="2:7" ht="14.7" customHeight="1" x14ac:dyDescent="0.4">
      <c r="B244" s="90" t="s">
        <v>205</v>
      </c>
      <c r="C244" s="61" t="s">
        <v>131</v>
      </c>
      <c r="D244" s="60">
        <v>1332504</v>
      </c>
      <c r="E244" s="60">
        <v>1332504</v>
      </c>
      <c r="F244" s="60">
        <v>1357774.03</v>
      </c>
      <c r="G244" s="68">
        <f t="shared" si="76"/>
        <v>1.0189643183059864</v>
      </c>
    </row>
    <row r="245" spans="2:7" ht="14.7" customHeight="1" x14ac:dyDescent="0.4">
      <c r="B245" s="88" t="s">
        <v>214</v>
      </c>
      <c r="C245" s="61" t="s">
        <v>133</v>
      </c>
      <c r="D245" s="60">
        <f>D246</f>
        <v>8998</v>
      </c>
      <c r="E245" s="60">
        <f t="shared" ref="E245:F246" si="90">E246</f>
        <v>8998</v>
      </c>
      <c r="F245" s="60">
        <f t="shared" si="90"/>
        <v>30161.99</v>
      </c>
      <c r="G245" s="68">
        <f t="shared" si="76"/>
        <v>3.3520771282507225</v>
      </c>
    </row>
    <row r="246" spans="2:7" ht="14.7" customHeight="1" x14ac:dyDescent="0.4">
      <c r="B246" s="89" t="s">
        <v>215</v>
      </c>
      <c r="C246" s="61" t="s">
        <v>134</v>
      </c>
      <c r="D246" s="60">
        <f>D247</f>
        <v>8998</v>
      </c>
      <c r="E246" s="60">
        <f t="shared" si="90"/>
        <v>8998</v>
      </c>
      <c r="F246" s="60">
        <f t="shared" si="90"/>
        <v>30161.99</v>
      </c>
      <c r="G246" s="68">
        <f t="shared" si="76"/>
        <v>3.3520771282507225</v>
      </c>
    </row>
    <row r="247" spans="2:7" ht="14.7" customHeight="1" x14ac:dyDescent="0.4">
      <c r="B247" s="90" t="s">
        <v>216</v>
      </c>
      <c r="C247" s="61" t="s">
        <v>134</v>
      </c>
      <c r="D247" s="60">
        <v>8998</v>
      </c>
      <c r="E247" s="60">
        <v>8998</v>
      </c>
      <c r="F247" s="60">
        <v>30161.99</v>
      </c>
      <c r="G247" s="68">
        <f t="shared" si="76"/>
        <v>3.3520771282507225</v>
      </c>
    </row>
    <row r="248" spans="2:7" s="100" customFormat="1" ht="24.9" x14ac:dyDescent="0.4">
      <c r="B248" s="96" t="s">
        <v>225</v>
      </c>
      <c r="C248" s="97" t="s">
        <v>240</v>
      </c>
      <c r="D248" s="98">
        <f>D249</f>
        <v>1054592</v>
      </c>
      <c r="E248" s="98">
        <f t="shared" ref="E248:F248" si="91">E249</f>
        <v>1054592</v>
      </c>
      <c r="F248" s="98">
        <f t="shared" si="91"/>
        <v>445844.04000000004</v>
      </c>
      <c r="G248" s="113">
        <f t="shared" si="76"/>
        <v>0.42276448142978518</v>
      </c>
    </row>
    <row r="249" spans="2:7" ht="14.7" customHeight="1" x14ac:dyDescent="0.4">
      <c r="B249" s="91" t="s">
        <v>197</v>
      </c>
      <c r="C249" s="61" t="s">
        <v>229</v>
      </c>
      <c r="D249" s="60">
        <f>D250</f>
        <v>1054592</v>
      </c>
      <c r="E249" s="60">
        <f t="shared" ref="E249:F249" si="92">E250</f>
        <v>1054592</v>
      </c>
      <c r="F249" s="60">
        <f t="shared" si="92"/>
        <v>445844.04000000004</v>
      </c>
      <c r="G249" s="68">
        <f t="shared" si="76"/>
        <v>0.42276448142978518</v>
      </c>
    </row>
    <row r="250" spans="2:7" s="101" customFormat="1" ht="14.7" customHeight="1" x14ac:dyDescent="0.35">
      <c r="B250" s="85" t="s">
        <v>226</v>
      </c>
      <c r="C250" s="65" t="s">
        <v>241</v>
      </c>
      <c r="D250" s="64">
        <f>D251+D256+D265+D268</f>
        <v>1054592</v>
      </c>
      <c r="E250" s="64">
        <f t="shared" ref="E250:F250" si="93">E251+E256+E265+E268</f>
        <v>1054592</v>
      </c>
      <c r="F250" s="64">
        <f t="shared" si="93"/>
        <v>445844.04000000004</v>
      </c>
      <c r="G250" s="76">
        <f t="shared" si="76"/>
        <v>0.42276448142978518</v>
      </c>
    </row>
    <row r="251" spans="2:7" ht="14.7" customHeight="1" x14ac:dyDescent="0.4">
      <c r="B251" s="88" t="s">
        <v>175</v>
      </c>
      <c r="C251" s="61" t="s">
        <v>5</v>
      </c>
      <c r="D251" s="60">
        <f>D252+D254</f>
        <v>470645</v>
      </c>
      <c r="E251" s="60">
        <f t="shared" ref="E251:F251" si="94">E252+E254</f>
        <v>470645</v>
      </c>
      <c r="F251" s="60">
        <f t="shared" si="94"/>
        <v>269656.66000000003</v>
      </c>
      <c r="G251" s="68">
        <f t="shared" si="76"/>
        <v>0.57295129025061364</v>
      </c>
    </row>
    <row r="252" spans="2:7" ht="14.7" customHeight="1" x14ac:dyDescent="0.4">
      <c r="B252" s="89" t="s">
        <v>176</v>
      </c>
      <c r="C252" s="61" t="s">
        <v>35</v>
      </c>
      <c r="D252" s="60">
        <f>D253</f>
        <v>403987</v>
      </c>
      <c r="E252" s="60">
        <f t="shared" ref="E252:F252" si="95">E253</f>
        <v>403987</v>
      </c>
      <c r="F252" s="60">
        <f t="shared" si="95"/>
        <v>231464.94</v>
      </c>
      <c r="G252" s="68">
        <f t="shared" si="76"/>
        <v>0.57295145635874423</v>
      </c>
    </row>
    <row r="253" spans="2:7" ht="14.7" customHeight="1" x14ac:dyDescent="0.4">
      <c r="B253" s="90" t="s">
        <v>177</v>
      </c>
      <c r="C253" s="61" t="s">
        <v>36</v>
      </c>
      <c r="D253" s="60">
        <v>403987</v>
      </c>
      <c r="E253" s="60">
        <v>403987</v>
      </c>
      <c r="F253" s="60">
        <v>231464.94</v>
      </c>
      <c r="G253" s="68">
        <f t="shared" si="76"/>
        <v>0.57295145635874423</v>
      </c>
    </row>
    <row r="254" spans="2:7" ht="14.7" customHeight="1" x14ac:dyDescent="0.4">
      <c r="B254" s="89" t="s">
        <v>180</v>
      </c>
      <c r="C254" s="61" t="s">
        <v>69</v>
      </c>
      <c r="D254" s="60">
        <f>D255</f>
        <v>66658</v>
      </c>
      <c r="E254" s="60">
        <f t="shared" ref="E254:F254" si="96">E255</f>
        <v>66658</v>
      </c>
      <c r="F254" s="60">
        <f t="shared" si="96"/>
        <v>38191.72</v>
      </c>
      <c r="G254" s="68">
        <f t="shared" si="76"/>
        <v>0.57295028353685984</v>
      </c>
    </row>
    <row r="255" spans="2:7" ht="14.7" customHeight="1" x14ac:dyDescent="0.4">
      <c r="B255" s="90" t="s">
        <v>181</v>
      </c>
      <c r="C255" s="61" t="s">
        <v>70</v>
      </c>
      <c r="D255" s="60">
        <v>66658</v>
      </c>
      <c r="E255" s="60">
        <v>66658</v>
      </c>
      <c r="F255" s="60">
        <v>38191.72</v>
      </c>
      <c r="G255" s="68">
        <f t="shared" si="76"/>
        <v>0.57295028353685984</v>
      </c>
    </row>
    <row r="256" spans="2:7" ht="14.7" customHeight="1" x14ac:dyDescent="0.4">
      <c r="B256" s="88" t="s">
        <v>182</v>
      </c>
      <c r="C256" s="61" t="s">
        <v>14</v>
      </c>
      <c r="D256" s="60">
        <f>D257+D260+D262</f>
        <v>576997</v>
      </c>
      <c r="E256" s="60">
        <f t="shared" ref="E256:F256" si="97">E257+E260+E262</f>
        <v>576997</v>
      </c>
      <c r="F256" s="60">
        <f t="shared" si="97"/>
        <v>170046.13</v>
      </c>
      <c r="G256" s="68">
        <f t="shared" si="76"/>
        <v>0.29470886330431528</v>
      </c>
    </row>
    <row r="257" spans="2:7" ht="14.7" customHeight="1" x14ac:dyDescent="0.4">
      <c r="B257" s="89" t="s">
        <v>183</v>
      </c>
      <c r="C257" s="61" t="s">
        <v>37</v>
      </c>
      <c r="D257" s="60">
        <f>SUM(D258:D259)</f>
        <v>32649</v>
      </c>
      <c r="E257" s="60">
        <f t="shared" ref="E257:F257" si="98">SUM(E258:E259)</f>
        <v>32649</v>
      </c>
      <c r="F257" s="60">
        <f t="shared" si="98"/>
        <v>9737.31</v>
      </c>
      <c r="G257" s="68">
        <f t="shared" si="76"/>
        <v>0.29824221262519524</v>
      </c>
    </row>
    <row r="258" spans="2:7" ht="14.7" customHeight="1" x14ac:dyDescent="0.4">
      <c r="B258" s="90" t="s">
        <v>184</v>
      </c>
      <c r="C258" s="61" t="s">
        <v>38</v>
      </c>
      <c r="D258" s="60">
        <v>17718</v>
      </c>
      <c r="E258" s="60">
        <v>17718</v>
      </c>
      <c r="F258" s="60">
        <v>7994.91</v>
      </c>
      <c r="G258" s="68">
        <f t="shared" si="76"/>
        <v>0.4512309515746698</v>
      </c>
    </row>
    <row r="259" spans="2:7" ht="14.7" customHeight="1" x14ac:dyDescent="0.4">
      <c r="B259" s="90" t="s">
        <v>186</v>
      </c>
      <c r="C259" s="61" t="s">
        <v>73</v>
      </c>
      <c r="D259" s="60">
        <v>14931</v>
      </c>
      <c r="E259" s="60">
        <v>14931</v>
      </c>
      <c r="F259" s="60">
        <v>1742.4</v>
      </c>
      <c r="G259" s="68">
        <f t="shared" si="76"/>
        <v>0.11669680530440024</v>
      </c>
    </row>
    <row r="260" spans="2:7" ht="14.7" customHeight="1" x14ac:dyDescent="0.4">
      <c r="B260" s="89" t="s">
        <v>187</v>
      </c>
      <c r="C260" s="61" t="s">
        <v>74</v>
      </c>
      <c r="D260" s="60">
        <f>D261</f>
        <v>16922</v>
      </c>
      <c r="E260" s="60">
        <f t="shared" ref="E260:F260" si="99">E261</f>
        <v>16922</v>
      </c>
      <c r="F260" s="60">
        <f t="shared" si="99"/>
        <v>16922</v>
      </c>
      <c r="G260" s="68">
        <f t="shared" si="76"/>
        <v>1</v>
      </c>
    </row>
    <row r="261" spans="2:7" ht="14.7" customHeight="1" x14ac:dyDescent="0.4">
      <c r="B261" s="90" t="s">
        <v>77</v>
      </c>
      <c r="C261" s="61" t="s">
        <v>78</v>
      </c>
      <c r="D261" s="60">
        <v>16922</v>
      </c>
      <c r="E261" s="60">
        <v>16922</v>
      </c>
      <c r="F261" s="60">
        <v>16922</v>
      </c>
      <c r="G261" s="68">
        <f t="shared" si="76"/>
        <v>1</v>
      </c>
    </row>
    <row r="262" spans="2:7" ht="14.7" customHeight="1" x14ac:dyDescent="0.4">
      <c r="B262" s="89" t="s">
        <v>188</v>
      </c>
      <c r="C262" s="61" t="s">
        <v>83</v>
      </c>
      <c r="D262" s="60">
        <f>SUM(D263:D264)</f>
        <v>527426</v>
      </c>
      <c r="E262" s="60">
        <f t="shared" ref="E262:F262" si="100">SUM(E263:E264)</f>
        <v>527426</v>
      </c>
      <c r="F262" s="60">
        <f t="shared" si="100"/>
        <v>143386.82</v>
      </c>
      <c r="G262" s="68">
        <f t="shared" ref="G262:G306" si="101">F262/E262</f>
        <v>0.27186149336589399</v>
      </c>
    </row>
    <row r="263" spans="2:7" ht="14.7" customHeight="1" x14ac:dyDescent="0.4">
      <c r="B263" s="90" t="s">
        <v>92</v>
      </c>
      <c r="C263" s="61" t="s">
        <v>93</v>
      </c>
      <c r="D263" s="60">
        <v>68902</v>
      </c>
      <c r="E263" s="60">
        <v>68902</v>
      </c>
      <c r="F263" s="60">
        <v>8535</v>
      </c>
      <c r="G263" s="68">
        <f t="shared" si="101"/>
        <v>0.12387158573045776</v>
      </c>
    </row>
    <row r="264" spans="2:7" ht="14.7" customHeight="1" x14ac:dyDescent="0.4">
      <c r="B264" s="90" t="s">
        <v>96</v>
      </c>
      <c r="C264" s="61" t="s">
        <v>97</v>
      </c>
      <c r="D264" s="60">
        <v>458524</v>
      </c>
      <c r="E264" s="60">
        <v>458524</v>
      </c>
      <c r="F264" s="60">
        <v>134851.82</v>
      </c>
      <c r="G264" s="68">
        <f t="shared" si="101"/>
        <v>0.29409980720747442</v>
      </c>
    </row>
    <row r="265" spans="2:7" ht="14.7" customHeight="1" x14ac:dyDescent="0.4">
      <c r="B265" s="88" t="s">
        <v>219</v>
      </c>
      <c r="C265" s="61" t="s">
        <v>7</v>
      </c>
      <c r="D265" s="60">
        <f>D266</f>
        <v>5000</v>
      </c>
      <c r="E265" s="60">
        <f t="shared" ref="E265:F266" si="102">E266</f>
        <v>5000</v>
      </c>
      <c r="F265" s="60">
        <f t="shared" si="102"/>
        <v>4191.25</v>
      </c>
      <c r="G265" s="68">
        <f t="shared" si="101"/>
        <v>0.83825000000000005</v>
      </c>
    </row>
    <row r="266" spans="2:7" ht="14.7" customHeight="1" x14ac:dyDescent="0.4">
      <c r="B266" s="89" t="s">
        <v>220</v>
      </c>
      <c r="C266" s="61" t="s">
        <v>127</v>
      </c>
      <c r="D266" s="60">
        <f>D267</f>
        <v>5000</v>
      </c>
      <c r="E266" s="60">
        <f t="shared" si="102"/>
        <v>5000</v>
      </c>
      <c r="F266" s="60">
        <f t="shared" si="102"/>
        <v>4191.25</v>
      </c>
      <c r="G266" s="68">
        <f t="shared" si="101"/>
        <v>0.83825000000000005</v>
      </c>
    </row>
    <row r="267" spans="2:7" ht="14.7" customHeight="1" x14ac:dyDescent="0.4">
      <c r="B267" s="90" t="s">
        <v>221</v>
      </c>
      <c r="C267" s="61" t="s">
        <v>128</v>
      </c>
      <c r="D267" s="60">
        <v>5000</v>
      </c>
      <c r="E267" s="60">
        <v>5000</v>
      </c>
      <c r="F267" s="60">
        <v>4191.25</v>
      </c>
      <c r="G267" s="68">
        <f t="shared" si="101"/>
        <v>0.83825000000000005</v>
      </c>
    </row>
    <row r="268" spans="2:7" ht="14.7" customHeight="1" x14ac:dyDescent="0.4">
      <c r="B268" s="88" t="s">
        <v>203</v>
      </c>
      <c r="C268" s="61" t="s">
        <v>129</v>
      </c>
      <c r="D268" s="60">
        <f>D269</f>
        <v>1950</v>
      </c>
      <c r="E268" s="60">
        <f t="shared" ref="E268:F269" si="103">E269</f>
        <v>1950</v>
      </c>
      <c r="F268" s="60">
        <f t="shared" si="103"/>
        <v>1950</v>
      </c>
      <c r="G268" s="68">
        <f t="shared" si="101"/>
        <v>1</v>
      </c>
    </row>
    <row r="269" spans="2:7" ht="14.7" customHeight="1" x14ac:dyDescent="0.4">
      <c r="B269" s="89" t="s">
        <v>204</v>
      </c>
      <c r="C269" s="61" t="s">
        <v>130</v>
      </c>
      <c r="D269" s="60">
        <f>D270</f>
        <v>1950</v>
      </c>
      <c r="E269" s="60">
        <f t="shared" si="103"/>
        <v>1950</v>
      </c>
      <c r="F269" s="60">
        <f t="shared" si="103"/>
        <v>1950</v>
      </c>
      <c r="G269" s="68">
        <f t="shared" si="101"/>
        <v>1</v>
      </c>
    </row>
    <row r="270" spans="2:7" ht="14.7" customHeight="1" x14ac:dyDescent="0.4">
      <c r="B270" s="90" t="s">
        <v>205</v>
      </c>
      <c r="C270" s="61" t="s">
        <v>131</v>
      </c>
      <c r="D270" s="60">
        <v>1950</v>
      </c>
      <c r="E270" s="60">
        <v>1950</v>
      </c>
      <c r="F270" s="60">
        <v>1950</v>
      </c>
      <c r="G270" s="68">
        <f t="shared" si="101"/>
        <v>1</v>
      </c>
    </row>
    <row r="271" spans="2:7" s="102" customFormat="1" ht="24.9" x14ac:dyDescent="0.4">
      <c r="B271" s="96" t="s">
        <v>227</v>
      </c>
      <c r="C271" s="97" t="s">
        <v>242</v>
      </c>
      <c r="D271" s="98">
        <f>D273+D290</f>
        <v>90400</v>
      </c>
      <c r="E271" s="98">
        <f t="shared" ref="E271:F271" si="104">E273+E290</f>
        <v>90400</v>
      </c>
      <c r="F271" s="98">
        <f t="shared" si="104"/>
        <v>7344.7800000000007</v>
      </c>
      <c r="G271" s="113">
        <f t="shared" si="101"/>
        <v>8.1247566371681429E-2</v>
      </c>
    </row>
    <row r="272" spans="2:7" ht="14.7" customHeight="1" x14ac:dyDescent="0.4">
      <c r="B272" s="91" t="s">
        <v>197</v>
      </c>
      <c r="C272" s="61" t="s">
        <v>229</v>
      </c>
      <c r="D272" s="60">
        <f>D273+D290</f>
        <v>90400</v>
      </c>
      <c r="E272" s="60">
        <f t="shared" ref="E272:F272" si="105">E273+E290</f>
        <v>90400</v>
      </c>
      <c r="F272" s="60">
        <f t="shared" si="105"/>
        <v>7344.7800000000007</v>
      </c>
      <c r="G272" s="68">
        <f t="shared" si="101"/>
        <v>8.1247566371681429E-2</v>
      </c>
    </row>
    <row r="273" spans="2:7" s="101" customFormat="1" ht="14.7" customHeight="1" x14ac:dyDescent="0.35">
      <c r="B273" s="85" t="s">
        <v>208</v>
      </c>
      <c r="C273" s="65" t="s">
        <v>232</v>
      </c>
      <c r="D273" s="64">
        <f>D274+D279+D287</f>
        <v>42700</v>
      </c>
      <c r="E273" s="64">
        <f t="shared" ref="E273:F273" si="106">E274+E279+E287</f>
        <v>42700</v>
      </c>
      <c r="F273" s="64">
        <f t="shared" si="106"/>
        <v>3672.39</v>
      </c>
      <c r="G273" s="76">
        <f t="shared" si="101"/>
        <v>8.6004449648711942E-2</v>
      </c>
    </row>
    <row r="274" spans="2:7" ht="14.7" customHeight="1" x14ac:dyDescent="0.4">
      <c r="B274" s="88" t="s">
        <v>175</v>
      </c>
      <c r="C274" s="61" t="s">
        <v>5</v>
      </c>
      <c r="D274" s="60">
        <f>D275+D277</f>
        <v>34500</v>
      </c>
      <c r="E274" s="60">
        <f t="shared" ref="E274:F274" si="107">E275+E277</f>
        <v>34500</v>
      </c>
      <c r="F274" s="60">
        <f t="shared" si="107"/>
        <v>0</v>
      </c>
      <c r="G274" s="68">
        <f t="shared" si="101"/>
        <v>0</v>
      </c>
    </row>
    <row r="275" spans="2:7" ht="14.7" customHeight="1" x14ac:dyDescent="0.4">
      <c r="B275" s="89" t="s">
        <v>176</v>
      </c>
      <c r="C275" s="61" t="s">
        <v>35</v>
      </c>
      <c r="D275" s="60">
        <f>D276</f>
        <v>30000</v>
      </c>
      <c r="E275" s="60">
        <f t="shared" ref="E275:F275" si="108">E276</f>
        <v>30000</v>
      </c>
      <c r="F275" s="60">
        <f t="shared" si="108"/>
        <v>0</v>
      </c>
      <c r="G275" s="68">
        <f t="shared" si="101"/>
        <v>0</v>
      </c>
    </row>
    <row r="276" spans="2:7" ht="14.7" customHeight="1" x14ac:dyDescent="0.4">
      <c r="B276" s="90" t="s">
        <v>177</v>
      </c>
      <c r="C276" s="61" t="s">
        <v>36</v>
      </c>
      <c r="D276" s="60">
        <v>30000</v>
      </c>
      <c r="E276" s="60">
        <v>30000</v>
      </c>
      <c r="F276" s="60">
        <v>0</v>
      </c>
      <c r="G276" s="68">
        <f t="shared" si="101"/>
        <v>0</v>
      </c>
    </row>
    <row r="277" spans="2:7" ht="14.7" customHeight="1" x14ac:dyDescent="0.4">
      <c r="B277" s="89" t="s">
        <v>180</v>
      </c>
      <c r="C277" s="61" t="s">
        <v>69</v>
      </c>
      <c r="D277" s="60">
        <f>D278</f>
        <v>4500</v>
      </c>
      <c r="E277" s="60">
        <f t="shared" ref="E277:F277" si="109">E278</f>
        <v>4500</v>
      </c>
      <c r="F277" s="60">
        <f t="shared" si="109"/>
        <v>0</v>
      </c>
      <c r="G277" s="68">
        <f t="shared" si="101"/>
        <v>0</v>
      </c>
    </row>
    <row r="278" spans="2:7" ht="14.7" customHeight="1" x14ac:dyDescent="0.4">
      <c r="B278" s="90" t="s">
        <v>181</v>
      </c>
      <c r="C278" s="61" t="s">
        <v>70</v>
      </c>
      <c r="D278" s="60">
        <v>4500</v>
      </c>
      <c r="E278" s="60">
        <v>4500</v>
      </c>
      <c r="F278" s="60">
        <v>0</v>
      </c>
      <c r="G278" s="68">
        <f t="shared" si="101"/>
        <v>0</v>
      </c>
    </row>
    <row r="279" spans="2:7" ht="14.7" customHeight="1" x14ac:dyDescent="0.4">
      <c r="B279" s="88" t="s">
        <v>182</v>
      </c>
      <c r="C279" s="61" t="s">
        <v>14</v>
      </c>
      <c r="D279" s="60">
        <f>D280+D283+D285</f>
        <v>4700</v>
      </c>
      <c r="E279" s="60">
        <f t="shared" ref="E279:F279" si="110">E280+E283+E285</f>
        <v>4700</v>
      </c>
      <c r="F279" s="60">
        <f t="shared" si="110"/>
        <v>39.83</v>
      </c>
      <c r="G279" s="68">
        <f t="shared" si="101"/>
        <v>8.4744680851063826E-3</v>
      </c>
    </row>
    <row r="280" spans="2:7" ht="14.7" customHeight="1" x14ac:dyDescent="0.4">
      <c r="B280" s="89" t="s">
        <v>183</v>
      </c>
      <c r="C280" s="61" t="s">
        <v>37</v>
      </c>
      <c r="D280" s="60">
        <f>SUM(D281:D282)</f>
        <v>700</v>
      </c>
      <c r="E280" s="60">
        <f t="shared" ref="E280:F280" si="111">SUM(E281:E282)</f>
        <v>700</v>
      </c>
      <c r="F280" s="60">
        <f t="shared" si="111"/>
        <v>39.83</v>
      </c>
      <c r="G280" s="68">
        <f t="shared" si="101"/>
        <v>5.6899999999999999E-2</v>
      </c>
    </row>
    <row r="281" spans="2:7" ht="14.7" customHeight="1" x14ac:dyDescent="0.4">
      <c r="B281" s="90" t="s">
        <v>184</v>
      </c>
      <c r="C281" s="61" t="s">
        <v>38</v>
      </c>
      <c r="D281" s="60">
        <v>500</v>
      </c>
      <c r="E281" s="60">
        <v>500</v>
      </c>
      <c r="F281" s="60">
        <v>39.83</v>
      </c>
      <c r="G281" s="68">
        <f t="shared" si="101"/>
        <v>7.9659999999999995E-2</v>
      </c>
    </row>
    <row r="282" spans="2:7" ht="14.7" customHeight="1" x14ac:dyDescent="0.4">
      <c r="B282" s="90" t="s">
        <v>186</v>
      </c>
      <c r="C282" s="61" t="s">
        <v>73</v>
      </c>
      <c r="D282" s="60">
        <v>200</v>
      </c>
      <c r="E282" s="60">
        <v>200</v>
      </c>
      <c r="F282" s="60">
        <v>0</v>
      </c>
      <c r="G282" s="68">
        <f t="shared" si="101"/>
        <v>0</v>
      </c>
    </row>
    <row r="283" spans="2:7" ht="14.7" customHeight="1" x14ac:dyDescent="0.4">
      <c r="B283" s="89" t="s">
        <v>187</v>
      </c>
      <c r="C283" s="61" t="s">
        <v>74</v>
      </c>
      <c r="D283" s="60">
        <f>D284</f>
        <v>2500</v>
      </c>
      <c r="E283" s="60">
        <f t="shared" ref="E283:F283" si="112">E284</f>
        <v>2500</v>
      </c>
      <c r="F283" s="60">
        <f t="shared" si="112"/>
        <v>0</v>
      </c>
      <c r="G283" s="68">
        <f t="shared" si="101"/>
        <v>0</v>
      </c>
    </row>
    <row r="284" spans="2:7" ht="14.7" customHeight="1" x14ac:dyDescent="0.4">
      <c r="B284" s="90" t="s">
        <v>75</v>
      </c>
      <c r="C284" s="61" t="s">
        <v>76</v>
      </c>
      <c r="D284" s="60">
        <v>2500</v>
      </c>
      <c r="E284" s="60">
        <v>2500</v>
      </c>
      <c r="F284" s="60">
        <v>0</v>
      </c>
      <c r="G284" s="68">
        <f t="shared" si="101"/>
        <v>0</v>
      </c>
    </row>
    <row r="285" spans="2:7" ht="14.7" customHeight="1" x14ac:dyDescent="0.4">
      <c r="B285" s="89" t="s">
        <v>188</v>
      </c>
      <c r="C285" s="61" t="s">
        <v>83</v>
      </c>
      <c r="D285" s="60">
        <f>D286</f>
        <v>1500</v>
      </c>
      <c r="E285" s="60">
        <f t="shared" ref="E285:F285" si="113">E286</f>
        <v>1500</v>
      </c>
      <c r="F285" s="60">
        <f t="shared" si="113"/>
        <v>0</v>
      </c>
      <c r="G285" s="68">
        <f t="shared" si="101"/>
        <v>0</v>
      </c>
    </row>
    <row r="286" spans="2:7" ht="14.7" customHeight="1" x14ac:dyDescent="0.4">
      <c r="B286" s="90" t="s">
        <v>100</v>
      </c>
      <c r="C286" s="61" t="s">
        <v>101</v>
      </c>
      <c r="D286" s="60">
        <v>1500</v>
      </c>
      <c r="E286" s="60">
        <v>1500</v>
      </c>
      <c r="F286" s="60">
        <v>0</v>
      </c>
      <c r="G286" s="68">
        <f t="shared" si="101"/>
        <v>0</v>
      </c>
    </row>
    <row r="287" spans="2:7" ht="14.7" customHeight="1" x14ac:dyDescent="0.4">
      <c r="B287" s="88" t="s">
        <v>219</v>
      </c>
      <c r="C287" s="61" t="s">
        <v>7</v>
      </c>
      <c r="D287" s="60">
        <f>D288</f>
        <v>3500</v>
      </c>
      <c r="E287" s="60">
        <f t="shared" ref="E287:F288" si="114">E288</f>
        <v>3500</v>
      </c>
      <c r="F287" s="60">
        <f t="shared" si="114"/>
        <v>3632.56</v>
      </c>
      <c r="G287" s="68">
        <f t="shared" si="101"/>
        <v>1.0378742857142857</v>
      </c>
    </row>
    <row r="288" spans="2:7" ht="14.7" customHeight="1" x14ac:dyDescent="0.4">
      <c r="B288" s="89" t="s">
        <v>220</v>
      </c>
      <c r="C288" s="61" t="s">
        <v>127</v>
      </c>
      <c r="D288" s="60">
        <f>D289</f>
        <v>3500</v>
      </c>
      <c r="E288" s="60">
        <f t="shared" si="114"/>
        <v>3500</v>
      </c>
      <c r="F288" s="60">
        <f t="shared" si="114"/>
        <v>3632.56</v>
      </c>
      <c r="G288" s="68">
        <f t="shared" si="101"/>
        <v>1.0378742857142857</v>
      </c>
    </row>
    <row r="289" spans="2:7" ht="14.7" customHeight="1" x14ac:dyDescent="0.4">
      <c r="B289" s="90" t="s">
        <v>221</v>
      </c>
      <c r="C289" s="61" t="s">
        <v>128</v>
      </c>
      <c r="D289" s="60">
        <v>3500</v>
      </c>
      <c r="E289" s="60">
        <v>3500</v>
      </c>
      <c r="F289" s="60">
        <v>3632.56</v>
      </c>
      <c r="G289" s="68">
        <f t="shared" si="101"/>
        <v>1.0378742857142857</v>
      </c>
    </row>
    <row r="290" spans="2:7" s="51" customFormat="1" ht="14.7" customHeight="1" x14ac:dyDescent="0.4">
      <c r="B290" s="85" t="s">
        <v>226</v>
      </c>
      <c r="C290" s="65" t="s">
        <v>241</v>
      </c>
      <c r="D290" s="64">
        <f>D291+D296+D304</f>
        <v>47700</v>
      </c>
      <c r="E290" s="64">
        <f t="shared" ref="E290:F290" si="115">E291+E296+E304</f>
        <v>47700</v>
      </c>
      <c r="F290" s="64">
        <f t="shared" si="115"/>
        <v>3672.3900000000003</v>
      </c>
      <c r="G290" s="76">
        <f t="shared" si="101"/>
        <v>7.698930817610064E-2</v>
      </c>
    </row>
    <row r="291" spans="2:7" ht="14.7" customHeight="1" x14ac:dyDescent="0.4">
      <c r="B291" s="88" t="s">
        <v>175</v>
      </c>
      <c r="C291" s="61" t="s">
        <v>5</v>
      </c>
      <c r="D291" s="60">
        <f>D292+D294</f>
        <v>34500</v>
      </c>
      <c r="E291" s="60">
        <f t="shared" ref="E291:F291" si="116">E292+E294</f>
        <v>34500</v>
      </c>
      <c r="F291" s="60">
        <f t="shared" si="116"/>
        <v>0</v>
      </c>
      <c r="G291" s="68">
        <f t="shared" si="101"/>
        <v>0</v>
      </c>
    </row>
    <row r="292" spans="2:7" ht="14.7" customHeight="1" x14ac:dyDescent="0.4">
      <c r="B292" s="89" t="s">
        <v>176</v>
      </c>
      <c r="C292" s="61" t="s">
        <v>35</v>
      </c>
      <c r="D292" s="60">
        <f>D293</f>
        <v>30000</v>
      </c>
      <c r="E292" s="60">
        <f t="shared" ref="E292:F292" si="117">E293</f>
        <v>30000</v>
      </c>
      <c r="F292" s="60">
        <f t="shared" si="117"/>
        <v>0</v>
      </c>
      <c r="G292" s="68">
        <f t="shared" si="101"/>
        <v>0</v>
      </c>
    </row>
    <row r="293" spans="2:7" ht="14.7" customHeight="1" x14ac:dyDescent="0.4">
      <c r="B293" s="90" t="s">
        <v>177</v>
      </c>
      <c r="C293" s="61" t="s">
        <v>36</v>
      </c>
      <c r="D293" s="60">
        <v>30000</v>
      </c>
      <c r="E293" s="60">
        <v>30000</v>
      </c>
      <c r="F293" s="60">
        <v>0</v>
      </c>
      <c r="G293" s="68">
        <f t="shared" si="101"/>
        <v>0</v>
      </c>
    </row>
    <row r="294" spans="2:7" ht="14.7" customHeight="1" x14ac:dyDescent="0.4">
      <c r="B294" s="89" t="s">
        <v>180</v>
      </c>
      <c r="C294" s="61" t="s">
        <v>69</v>
      </c>
      <c r="D294" s="60">
        <f>D295</f>
        <v>4500</v>
      </c>
      <c r="E294" s="60">
        <f t="shared" ref="E294:F294" si="118">E295</f>
        <v>4500</v>
      </c>
      <c r="F294" s="60">
        <f t="shared" si="118"/>
        <v>0</v>
      </c>
      <c r="G294" s="68">
        <f t="shared" si="101"/>
        <v>0</v>
      </c>
    </row>
    <row r="295" spans="2:7" ht="14.7" customHeight="1" x14ac:dyDescent="0.4">
      <c r="B295" s="90" t="s">
        <v>181</v>
      </c>
      <c r="C295" s="61" t="s">
        <v>70</v>
      </c>
      <c r="D295" s="60">
        <v>4500</v>
      </c>
      <c r="E295" s="60">
        <v>4500</v>
      </c>
      <c r="F295" s="60">
        <v>0</v>
      </c>
      <c r="G295" s="68">
        <f t="shared" si="101"/>
        <v>0</v>
      </c>
    </row>
    <row r="296" spans="2:7" ht="14.7" customHeight="1" x14ac:dyDescent="0.4">
      <c r="B296" s="88" t="s">
        <v>182</v>
      </c>
      <c r="C296" s="61" t="s">
        <v>14</v>
      </c>
      <c r="D296" s="60">
        <f>D297+D300+D302</f>
        <v>4700</v>
      </c>
      <c r="E296" s="60">
        <f t="shared" ref="E296:F296" si="119">E297+E300+E302</f>
        <v>4700</v>
      </c>
      <c r="F296" s="60">
        <f t="shared" si="119"/>
        <v>39.82</v>
      </c>
      <c r="G296" s="68">
        <f t="shared" si="101"/>
        <v>8.4723404255319153E-3</v>
      </c>
    </row>
    <row r="297" spans="2:7" ht="14.7" customHeight="1" x14ac:dyDescent="0.4">
      <c r="B297" s="89" t="s">
        <v>183</v>
      </c>
      <c r="C297" s="61" t="s">
        <v>37</v>
      </c>
      <c r="D297" s="60">
        <f>SUM(D298:D299)</f>
        <v>700</v>
      </c>
      <c r="E297" s="60">
        <f t="shared" ref="E297:F297" si="120">SUM(E298:E299)</f>
        <v>700</v>
      </c>
      <c r="F297" s="60">
        <f t="shared" si="120"/>
        <v>39.82</v>
      </c>
      <c r="G297" s="68">
        <f t="shared" si="101"/>
        <v>5.6885714285714289E-2</v>
      </c>
    </row>
    <row r="298" spans="2:7" ht="14.7" customHeight="1" x14ac:dyDescent="0.4">
      <c r="B298" s="90" t="s">
        <v>184</v>
      </c>
      <c r="C298" s="61" t="s">
        <v>38</v>
      </c>
      <c r="D298" s="60">
        <v>500</v>
      </c>
      <c r="E298" s="60">
        <v>500</v>
      </c>
      <c r="F298" s="60">
        <v>39.82</v>
      </c>
      <c r="G298" s="68">
        <f t="shared" si="101"/>
        <v>7.9640000000000002E-2</v>
      </c>
    </row>
    <row r="299" spans="2:7" ht="14.7" customHeight="1" x14ac:dyDescent="0.4">
      <c r="B299" s="90" t="s">
        <v>186</v>
      </c>
      <c r="C299" s="61" t="s">
        <v>73</v>
      </c>
      <c r="D299" s="60">
        <v>200</v>
      </c>
      <c r="E299" s="60">
        <v>200</v>
      </c>
      <c r="F299" s="60">
        <v>0</v>
      </c>
      <c r="G299" s="68">
        <f t="shared" si="101"/>
        <v>0</v>
      </c>
    </row>
    <row r="300" spans="2:7" ht="14.7" customHeight="1" x14ac:dyDescent="0.4">
      <c r="B300" s="89" t="s">
        <v>187</v>
      </c>
      <c r="C300" s="61" t="s">
        <v>74</v>
      </c>
      <c r="D300" s="60">
        <f>D301</f>
        <v>2500</v>
      </c>
      <c r="E300" s="60">
        <f t="shared" ref="E300:F300" si="121">E301</f>
        <v>2500</v>
      </c>
      <c r="F300" s="60">
        <f t="shared" si="121"/>
        <v>0</v>
      </c>
      <c r="G300" s="68">
        <f t="shared" si="101"/>
        <v>0</v>
      </c>
    </row>
    <row r="301" spans="2:7" ht="14.7" customHeight="1" x14ac:dyDescent="0.4">
      <c r="B301" s="90" t="s">
        <v>75</v>
      </c>
      <c r="C301" s="61" t="s">
        <v>76</v>
      </c>
      <c r="D301" s="60">
        <v>2500</v>
      </c>
      <c r="E301" s="60">
        <v>2500</v>
      </c>
      <c r="F301" s="60">
        <v>0</v>
      </c>
      <c r="G301" s="68">
        <f t="shared" si="101"/>
        <v>0</v>
      </c>
    </row>
    <row r="302" spans="2:7" ht="14.7" customHeight="1" x14ac:dyDescent="0.4">
      <c r="B302" s="89" t="s">
        <v>188</v>
      </c>
      <c r="C302" s="61" t="s">
        <v>83</v>
      </c>
      <c r="D302" s="60">
        <f>D303</f>
        <v>1500</v>
      </c>
      <c r="E302" s="60">
        <f t="shared" ref="E302:F302" si="122">E303</f>
        <v>1500</v>
      </c>
      <c r="F302" s="60">
        <f t="shared" si="122"/>
        <v>0</v>
      </c>
      <c r="G302" s="68">
        <f t="shared" si="101"/>
        <v>0</v>
      </c>
    </row>
    <row r="303" spans="2:7" ht="14.7" customHeight="1" x14ac:dyDescent="0.4">
      <c r="B303" s="90" t="s">
        <v>100</v>
      </c>
      <c r="C303" s="61" t="s">
        <v>101</v>
      </c>
      <c r="D303" s="60">
        <v>1500</v>
      </c>
      <c r="E303" s="60">
        <v>1500</v>
      </c>
      <c r="F303" s="60">
        <v>0</v>
      </c>
      <c r="G303" s="68">
        <f t="shared" si="101"/>
        <v>0</v>
      </c>
    </row>
    <row r="304" spans="2:7" ht="14.7" customHeight="1" x14ac:dyDescent="0.4">
      <c r="B304" s="88" t="s">
        <v>219</v>
      </c>
      <c r="C304" s="61" t="s">
        <v>7</v>
      </c>
      <c r="D304" s="60">
        <f>D305</f>
        <v>8500</v>
      </c>
      <c r="E304" s="60">
        <f t="shared" ref="E304:F305" si="123">E305</f>
        <v>8500</v>
      </c>
      <c r="F304" s="60">
        <f t="shared" si="123"/>
        <v>3632.57</v>
      </c>
      <c r="G304" s="68">
        <f t="shared" si="101"/>
        <v>0.42736117647058824</v>
      </c>
    </row>
    <row r="305" spans="2:7" ht="14.7" customHeight="1" x14ac:dyDescent="0.4">
      <c r="B305" s="89" t="s">
        <v>220</v>
      </c>
      <c r="C305" s="61" t="s">
        <v>127</v>
      </c>
      <c r="D305" s="60">
        <f>D306</f>
        <v>8500</v>
      </c>
      <c r="E305" s="60">
        <f t="shared" si="123"/>
        <v>8500</v>
      </c>
      <c r="F305" s="60">
        <f t="shared" si="123"/>
        <v>3632.57</v>
      </c>
      <c r="G305" s="68">
        <f t="shared" si="101"/>
        <v>0.42736117647058824</v>
      </c>
    </row>
    <row r="306" spans="2:7" ht="14.7" customHeight="1" x14ac:dyDescent="0.4">
      <c r="B306" s="90" t="s">
        <v>221</v>
      </c>
      <c r="C306" s="61" t="s">
        <v>128</v>
      </c>
      <c r="D306" s="60">
        <v>8500</v>
      </c>
      <c r="E306" s="60">
        <v>8500</v>
      </c>
      <c r="F306" s="60">
        <v>3632.57</v>
      </c>
      <c r="G306" s="68">
        <f t="shared" si="101"/>
        <v>0.42736117647058824</v>
      </c>
    </row>
  </sheetData>
  <mergeCells count="6">
    <mergeCell ref="B2:G2"/>
    <mergeCell ref="B4:G4"/>
    <mergeCell ref="K15:R15"/>
    <mergeCell ref="B6:C6"/>
    <mergeCell ref="B7:C7"/>
    <mergeCell ref="K13:R1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r:id="rId1"/>
  <rowBreaks count="6" manualBreakCount="6">
    <brk id="52" max="6" man="1"/>
    <brk id="104" max="6" man="1"/>
    <brk id="140" max="6" man="1"/>
    <brk id="187" max="6" man="1"/>
    <brk id="218" max="6" man="1"/>
    <brk id="2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rashoda'!Print_Area</vt:lpstr>
      <vt:lpstr>'POSEBNI DIO'!Print_Area</vt:lpstr>
      <vt:lpstr>'Račun financiranja'!Print_Area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Janja Jurišić Hotko</cp:lastModifiedBy>
  <cp:lastPrinted>2024-03-13T09:44:44Z</cp:lastPrinted>
  <dcterms:created xsi:type="dcterms:W3CDTF">2022-08-12T12:51:27Z</dcterms:created>
  <dcterms:modified xsi:type="dcterms:W3CDTF">2024-03-27T07:57:36Z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